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030" activeTab="6"/>
  </bookViews>
  <sheets>
    <sheet name="Estudo Geral" sheetId="1" r:id="rId1"/>
    <sheet name="Quantitativo" sheetId="2" r:id="rId2"/>
    <sheet name="Custos" sheetId="3" r:id="rId3"/>
    <sheet name="Memorial " sheetId="4" r:id="rId4"/>
    <sheet name="Composição" sheetId="5" r:id="rId5"/>
    <sheet name="Anexo VII" sheetId="6" r:id="rId6"/>
    <sheet name="Anexo VIII" sheetId="7" r:id="rId7"/>
  </sheets>
  <definedNames>
    <definedName name="_xlnm.Print_Area" localSheetId="2">'Custos'!#REF!</definedName>
  </definedNames>
  <calcPr fullCalcOnLoad="1"/>
</workbook>
</file>

<file path=xl/sharedStrings.xml><?xml version="1.0" encoding="utf-8"?>
<sst xmlns="http://schemas.openxmlformats.org/spreadsheetml/2006/main" count="1095" uniqueCount="366">
  <si>
    <t>MELHORIAS DA PLATAFORMA</t>
  </si>
  <si>
    <t>m2</t>
  </si>
  <si>
    <t>CONTROLE DA DRENAGEM</t>
  </si>
  <si>
    <t>Drenagem Superficial</t>
  </si>
  <si>
    <t>Bigodes/Segmentos de Terraço</t>
  </si>
  <si>
    <t>m</t>
  </si>
  <si>
    <t>Dispositivos Especiais de Drenagem</t>
  </si>
  <si>
    <t>REVESTIMENTOS</t>
  </si>
  <si>
    <t>m3</t>
  </si>
  <si>
    <t>SERVIÇOS COMPLEMENTARES</t>
  </si>
  <si>
    <t>SERVIÇOS</t>
  </si>
  <si>
    <t>UN.</t>
  </si>
  <si>
    <t>QTD.</t>
  </si>
  <si>
    <t>PREÇO UNITÁRIO (R$)</t>
  </si>
  <si>
    <t>TOTAIS PARCIAIS (R$)</t>
  </si>
  <si>
    <t>Verba</t>
  </si>
  <si>
    <t>ES-SP01</t>
  </si>
  <si>
    <t>SERVIÇOS PRELIMINARES</t>
  </si>
  <si>
    <t>Correção de erosões em valas e plataforma</t>
  </si>
  <si>
    <t>ES-MP02</t>
  </si>
  <si>
    <t>Sarjeta TIPO A</t>
  </si>
  <si>
    <t>ES-SD02</t>
  </si>
  <si>
    <t>Sarjeta TIPO B</t>
  </si>
  <si>
    <t>Sarjeta TIPO C</t>
  </si>
  <si>
    <t>Drenagem Corrente</t>
  </si>
  <si>
    <t>Unid.</t>
  </si>
  <si>
    <t>Boca de Bueiro Simples Tubular de Concreto - BSTC D= 80 cm</t>
  </si>
  <si>
    <t>Drenagem Profunda</t>
  </si>
  <si>
    <t>Canal Escoadouro</t>
  </si>
  <si>
    <t>ES-SR06</t>
  </si>
  <si>
    <t>PROTEÇÃO VEGETAL</t>
  </si>
  <si>
    <t>Proteção vegetal/Plantio de Grama em Placas</t>
  </si>
  <si>
    <t>Proteção vegetal/Plantio de grama em Mudas</t>
  </si>
  <si>
    <t>Execução de cercas</t>
  </si>
  <si>
    <t>Passa-Gado</t>
  </si>
  <si>
    <t>Roçada mecanizada</t>
  </si>
  <si>
    <t xml:space="preserve">GRUPO </t>
  </si>
  <si>
    <t>Discriminação da Atividade</t>
  </si>
  <si>
    <t>ES-SP02</t>
  </si>
  <si>
    <t>Serviços Topográficos</t>
  </si>
  <si>
    <t>ES-SP03</t>
  </si>
  <si>
    <t>Caminhos de Serviço</t>
  </si>
  <si>
    <t>ES-SP04</t>
  </si>
  <si>
    <t>Transportes</t>
  </si>
  <si>
    <t>Mobilização e Desmobilização</t>
  </si>
  <si>
    <t>ESPECIF.</t>
  </si>
  <si>
    <t>Caixas de Retenção d=10,00m</t>
  </si>
  <si>
    <t xml:space="preserve">Proteção vegetal por sementes de braquiária lançada manualmente </t>
  </si>
  <si>
    <t>Revestimento Estabilizado com  solo brita a 50% (esp.=var.)</t>
  </si>
  <si>
    <t>Revestimento Estabilizado com  solo/cimento a 6% (esp.=var.)</t>
  </si>
  <si>
    <t>Revestimento Estabilizado com aditivo químico (esp.=var.)</t>
  </si>
  <si>
    <t>Recuo/estocagem/retorno da camada vegetal) (estrada + bigodes + bacias)</t>
  </si>
  <si>
    <t>Serviços de limpeza de materiais diversos (areião, entulhos, gramão, etc.) incluindo-se escavação até 0,20m de espessura, carga, descarga e espalhamento em bota-fora)</t>
  </si>
  <si>
    <t>m3xkm</t>
  </si>
  <si>
    <t>Transporte de material de limpeza até DMT &lt;= 5km</t>
  </si>
  <si>
    <t xml:space="preserve">Mata-Burro </t>
  </si>
  <si>
    <t>Ponte</t>
  </si>
  <si>
    <t>unid</t>
  </si>
  <si>
    <t>Revestimento Primário    (considerando-se material, carga, transporte, espalhamento, mistura, compactação e acabamento, medido pronto)</t>
  </si>
  <si>
    <t xml:space="preserve">Escavação, carga de transporte de material 1ª / 2ª categoria até DMT&lt;= 25 metros (Quebra de barrancos e conformação de taludes conformacao de sarjeta tipo D) </t>
  </si>
  <si>
    <t>22.04.01.99</t>
  </si>
  <si>
    <t>Composição</t>
  </si>
  <si>
    <t>22.02.01.99</t>
  </si>
  <si>
    <t>37.02.23.99</t>
  </si>
  <si>
    <t>Compactação do Leito &gt;= 95% PS</t>
  </si>
  <si>
    <t>37.02.03.99</t>
  </si>
  <si>
    <t>RECONFORMACAO DE PLATAFORMA incluindo-se a conformação das sarjetas tipos A, B e C</t>
  </si>
  <si>
    <t>Memorial de Custos</t>
  </si>
  <si>
    <t>15.  Memorial de cálculo de custo de serviços especiais que não constantam de tabelas oficiais de referêcia</t>
  </si>
  <si>
    <t>Serviço</t>
  </si>
  <si>
    <t>Referência</t>
  </si>
  <si>
    <t>Código</t>
  </si>
  <si>
    <t>Quantidade</t>
  </si>
  <si>
    <t>Descrição</t>
  </si>
  <si>
    <t xml:space="preserve">Un </t>
  </si>
  <si>
    <t>M. O.</t>
  </si>
  <si>
    <t>Mat.</t>
  </si>
  <si>
    <t>Total</t>
  </si>
  <si>
    <t>Custo</t>
  </si>
  <si>
    <t>CROQUI</t>
  </si>
  <si>
    <t>Unitário</t>
  </si>
  <si>
    <t>Muro de ala</t>
  </si>
  <si>
    <t xml:space="preserve">CPOS  Boletim 168 </t>
  </si>
  <si>
    <t>14.10.110</t>
  </si>
  <si>
    <t>Alvenaria de bloco de concreto de vedação, uso revestido, de 14 cm</t>
  </si>
  <si>
    <t>m²</t>
  </si>
  <si>
    <t>14.20.010</t>
  </si>
  <si>
    <t>Vergas, contravergas e pilaretes de concreto armado</t>
  </si>
  <si>
    <t>m³</t>
  </si>
  <si>
    <t>12.01.020</t>
  </si>
  <si>
    <t>Broca em concreto armado diâmetro de 20 cm - completa</t>
  </si>
  <si>
    <t>09.01.020</t>
  </si>
  <si>
    <t>Forma em madeira comum para fundação</t>
  </si>
  <si>
    <t>10.02.020</t>
  </si>
  <si>
    <t>Armadura em tela soldada de aço</t>
  </si>
  <si>
    <t>kg</t>
  </si>
  <si>
    <t>11.03.090</t>
  </si>
  <si>
    <t>Concreto preparado no local, fck = 20,0 MPa</t>
  </si>
  <si>
    <t>Caixa de Passagem</t>
  </si>
  <si>
    <t>1. Memorial de cálculo de custo de serviços especiais que não constantam de tabelas oficiais de referêcia</t>
  </si>
  <si>
    <t>Operação</t>
  </si>
  <si>
    <t>Equipamento</t>
  </si>
  <si>
    <t>Rendimento: m2/Hora</t>
  </si>
  <si>
    <t>R$/hora</t>
  </si>
  <si>
    <t>R$/m2</t>
  </si>
  <si>
    <t>Sub item</t>
  </si>
  <si>
    <t>Raspagem do terreno - recuo da camada vegetal (mínimo 10 cm)</t>
  </si>
  <si>
    <t>Pá Carregadeira - !,7 - 1,93 m3 - cod. D</t>
  </si>
  <si>
    <t>DER -SP (30/12/16)</t>
  </si>
  <si>
    <t>72.41.01.99.04</t>
  </si>
  <si>
    <t>Rendimento: m3/Hora</t>
  </si>
  <si>
    <t>R$/m3</t>
  </si>
  <si>
    <t>Escavação e carga de material</t>
  </si>
  <si>
    <t>Escavação carga transporte &lt;25 m (abatimento de taludes)</t>
  </si>
  <si>
    <t>Trator S/Esteira lamina - 2,28 m3 - Cond D</t>
  </si>
  <si>
    <t>72.50.02.99.04</t>
  </si>
  <si>
    <t>Trator S/Esteira lamina - 3,18 m3 - Cond D</t>
  </si>
  <si>
    <t>72.50.03.99.04</t>
  </si>
  <si>
    <t>Pá carregadeira - 1,7 - 1,93  m3, Cond D</t>
  </si>
  <si>
    <t>Escavadeira Hidraulica S/Est - 2,2 m3 - Cond D</t>
  </si>
  <si>
    <t>72.27.04.99.04</t>
  </si>
  <si>
    <t>Valor médio</t>
  </si>
  <si>
    <t>Retorno da camada vegetal</t>
  </si>
  <si>
    <t>Compactação de aterros - camada de 30 cm (04 passadas)</t>
  </si>
  <si>
    <t>Pé de carneiro 15,5   T Cond D</t>
  </si>
  <si>
    <t>72.45.06.99.04</t>
  </si>
  <si>
    <t>rendimento 5000 m2/hora/4 passadas</t>
  </si>
  <si>
    <t>Caminhão irrigador 6000 l, cond D</t>
  </si>
  <si>
    <t>72.08.01.99.04</t>
  </si>
  <si>
    <t>rendimento 6000 m2/hora/4 passadas</t>
  </si>
  <si>
    <t>Compactação do sub leito: camada de 30 cm (gradeação, umedeciemnto e compactação- 5 passadas</t>
  </si>
  <si>
    <t>rendimento 5000 m2/hora/5 passadas</t>
  </si>
  <si>
    <t>rendimento 6000 m2/hora/5 passadas</t>
  </si>
  <si>
    <t>Trator agric pesado c/peso de Cond D</t>
  </si>
  <si>
    <t>72.49.02.99.04</t>
  </si>
  <si>
    <r>
      <t xml:space="preserve">Rendimento: </t>
    </r>
    <r>
      <rPr>
        <b/>
        <sz val="9"/>
        <rFont val="Arial"/>
        <family val="2"/>
      </rPr>
      <t>m2</t>
    </r>
    <r>
      <rPr>
        <b/>
        <sz val="10"/>
        <rFont val="Arial"/>
        <family val="2"/>
      </rPr>
      <t>/Hora</t>
    </r>
  </si>
  <si>
    <t>Conformação. Geométrica. da  plataforma sarjetas/leiras - 3 operações</t>
  </si>
  <si>
    <t>Moto niveladora c/escarificador - 16.200 kg. Cod D</t>
  </si>
  <si>
    <t>72.37.02.99.04</t>
  </si>
  <si>
    <t>Rendimento: M/Hora</t>
  </si>
  <si>
    <t>R$/m</t>
  </si>
  <si>
    <t>Segmento de terraço/bigode. Secção 1 m3</t>
  </si>
  <si>
    <t>Rendimento: U/Hora</t>
  </si>
  <si>
    <t>R$/U</t>
  </si>
  <si>
    <t>Lombada, mínimo (7 X10X1 m)</t>
  </si>
  <si>
    <t>Equipamento/material</t>
  </si>
  <si>
    <t>R$/hora e m3</t>
  </si>
  <si>
    <t>Passagem molhada (rachão) (7X5X0,1 M) conjugada com lombada (7X10X1 m)</t>
  </si>
  <si>
    <t>Passagem molhada (Sub base rachão)</t>
  </si>
  <si>
    <t>23.04.03.04.99</t>
  </si>
  <si>
    <t>R$/Unidade</t>
  </si>
  <si>
    <t>Caixa de retenção cirdular D - 10 m</t>
  </si>
  <si>
    <t>Caixa de retenção cirdular D - 15 m</t>
  </si>
  <si>
    <t>Caixa de retenção cirdular D -20 m</t>
  </si>
  <si>
    <t>Material/serviço</t>
  </si>
  <si>
    <t>Unidade</t>
  </si>
  <si>
    <t>R$/u</t>
  </si>
  <si>
    <t>R$</t>
  </si>
  <si>
    <t>Sinapi - nov/16</t>
  </si>
  <si>
    <t>Malha pop CA 60 4 mm</t>
  </si>
  <si>
    <t>Lançamento e apliação manual de concreto</t>
  </si>
  <si>
    <t>74157/4</t>
  </si>
  <si>
    <t>Canaleta de concreto -  concreto FCK 20 (usinado "in loco") com 5 cm de espessura - base 100 m2</t>
  </si>
  <si>
    <t>concreto - FCK20</t>
  </si>
  <si>
    <t>Mão de obra</t>
  </si>
  <si>
    <t>R$/100 m2</t>
  </si>
  <si>
    <t xml:space="preserve">Boca de bueiro bloco - 40 cm - material e mão de obra (1,6x0,8m). Abas Laterais (0,6x0,8m) </t>
  </si>
  <si>
    <t>Alvenaria de bloco cerâmico de vedação, uso revestido, de 14 cm</t>
  </si>
  <si>
    <t>CPOs Nov 16</t>
  </si>
  <si>
    <t>14.04.21</t>
  </si>
  <si>
    <t>Lastro de concreto usinado "in loco", 10 cm FCK 20</t>
  </si>
  <si>
    <t>R$/unidade</t>
  </si>
  <si>
    <t xml:space="preserve">Boca de bueiro bloco - 60 cm - material e mão de obra (2,0x1,0m). Abas Laterais (0,6x1,0m) </t>
  </si>
  <si>
    <t xml:space="preserve">Boca de bueiro bloco -80 cm - material e mão de obra 2,4x1,2m). AbasLaterais (0,8x1,2m) </t>
  </si>
  <si>
    <t xml:space="preserve">Boca de bueiro bloco -80 cm - material e mão de obra 3,0x1,5m). AbasLaterais (0,8 x1,5m) </t>
  </si>
  <si>
    <t xml:space="preserve">Revestimento Primário - Cascalho natural (incluindo-se custos do material,escavação na jazida/cascalheira, carga, transporte - 20 km, distribuição e compactação) - base 100 m2 com espessura de 10 cm -  OBS: base de cálculo: 100 m2                   </t>
  </si>
  <si>
    <t>nº de viagem</t>
  </si>
  <si>
    <t>Sub Item/Código</t>
  </si>
  <si>
    <t>Cascalho/capa de basalto</t>
  </si>
  <si>
    <t>Escavação e carga</t>
  </si>
  <si>
    <t>Transporte - Locação caminhão basculante 5m3 Cond E - R$/km</t>
  </si>
  <si>
    <t>km</t>
  </si>
  <si>
    <t>72.09.01.99.05</t>
  </si>
  <si>
    <t xml:space="preserve"> Distribuição: Moto niveladora c/escarificador - 16.200 kg. Cod D - rend - 1400m2/h</t>
  </si>
  <si>
    <t>hora</t>
  </si>
  <si>
    <t>100 m2 = 10 m3</t>
  </si>
  <si>
    <t>Caminhão irrigador 6000 l Com D, rendimento 2000 m2/h</t>
  </si>
  <si>
    <t>Revestimento solo brita 50% (material, transporte, distribuição, incorporação e compactação) - Base de cálculo 100 m2 com 10 cm de espessura.</t>
  </si>
  <si>
    <t xml:space="preserve">Quantidade: </t>
  </si>
  <si>
    <t>brita - bica corrida</t>
  </si>
  <si>
    <t>Incorporação: Trator agrícola com grade - passadas</t>
  </si>
  <si>
    <t>(100 m2 = 10 m3)</t>
  </si>
  <si>
    <t>Conformação da plataforma - motoniveladora. Rend - 1400m2/h</t>
  </si>
  <si>
    <t>Semeadura de Brachiaria a lanço (100 m2)</t>
  </si>
  <si>
    <t>Material  / Serviço</t>
  </si>
  <si>
    <t>R$/ unit</t>
  </si>
  <si>
    <t>Sementes</t>
  </si>
  <si>
    <t>34.02.400</t>
  </si>
  <si>
    <t>Tabelas de referências</t>
  </si>
  <si>
    <t>SINAPI</t>
  </si>
  <si>
    <t>00007267 BLOCO CERAMICO VEDAÇÃO 6 FUROS - 9 X 14 X 19 CM UN 0,60</t>
  </si>
  <si>
    <t>00004743 CASCALHO DE CAVA M3 69,14</t>
  </si>
  <si>
    <t>00004744 CASCALHO DE RIO M3 56,57</t>
  </si>
  <si>
    <t>00004745 CASCALHO LAVADO M3 84,86</t>
  </si>
  <si>
    <t>00004746 CASCALHO, PEDREGULHO OU PICARRA (MATERIAL DE JAZIDA PARA BASE DE PAVIMENTACAO, REVESTIMENTO M3 33,00</t>
  </si>
  <si>
    <t>PRIMARIO, BASES ASFALTICAS ETC - SEM TRANSPORTE)</t>
  </si>
  <si>
    <t>Tabela CPOs - Fev 15</t>
  </si>
  <si>
    <t>Material</t>
  </si>
  <si>
    <t>Mão de Obra</t>
  </si>
  <si>
    <t>CMR</t>
  </si>
  <si>
    <t>IMG</t>
  </si>
  <si>
    <t>Lançamento, espalhamento e adensamento de concreto ou massa em lastro e/ou enchimento</t>
  </si>
  <si>
    <t>Lançamento e adensamento de concreto ou massa em fundação</t>
  </si>
  <si>
    <t>Lançamento e adensamento de concreto ou massa em estrutura</t>
  </si>
  <si>
    <t>Lançamento e adensamento de concreto ou massa por bombeamento</t>
  </si>
  <si>
    <t>Nivelamento de piso em concreto com acabadora de superfície</t>
  </si>
  <si>
    <t>Concreto usinado, fck = 20,0 MPa</t>
  </si>
  <si>
    <t>Concreto usinado, fck = 25,0 MPa</t>
  </si>
  <si>
    <t>Concreto usinado, fck = 30,0 MPa</t>
  </si>
  <si>
    <t>Concreto usinado, fck = 35,0 MPa</t>
  </si>
  <si>
    <t>Concreto usinado, fck = 40,0 MPa</t>
  </si>
  <si>
    <t>Forma em madeira comum para estrutura</t>
  </si>
  <si>
    <t>Forma em madeira comum para caixao perdido</t>
  </si>
  <si>
    <t>Alvenaria de bloco cerâmico de vedação, uso revestido, de 9 cm</t>
  </si>
  <si>
    <t>Alvenaria de bloco cerâmico de vedação, uso revestido, de 19 cm</t>
  </si>
  <si>
    <t>Alvenaria de bloco de concreto de vedação, uso revestido, de 9 cm</t>
  </si>
  <si>
    <t>Alvenaria de bloco de concreto de vedação, uso revestido, de 19 cm</t>
  </si>
  <si>
    <t>Alvenaria de bloco de concreto de vedação, uso aparente, de 9 cm</t>
  </si>
  <si>
    <t>Alvenaria de bloco de concreto de vedação, uso aparente, de 14 cm</t>
  </si>
  <si>
    <t>Alvenaria de bloco de concreto de vedação, uso aparente, de 19 cm</t>
  </si>
  <si>
    <t>00004729 PEDRA BRITADA GRADUADA, CLASSIFICADA (POSTO PEDREIRA/FORNECEDOR, SEM FRETE) M3 CR 64,23</t>
  </si>
  <si>
    <t>00004720 PEDRA BRITADA N. 0, OU PEDRISCO (4,8 A 9,5 MM) POSTO PEDREIRA/FORNECEDOR, SEM M3 70,23</t>
  </si>
  <si>
    <t>00004721 PEDRA BRITADA N. 1 (9,5 a 19 MM) POSTO PEDREIRA/FORNECEDOR, SEM FRETE M3 CR 55,01</t>
  </si>
  <si>
    <t>00004718 PEDRA BRITADA N. 2 (19 A 38 MM) POSTO PEDREIRA/FORNECEDOR, SEM FRETE M3 C 55,00</t>
  </si>
  <si>
    <t xml:space="preserve">00004748 PEDRA BRITADA OU BICA CORRIDA, NAO CLASSIFICADA (POSTO PEDREIRA/FORNECEDOR, M3 59,51 SEM FRETE) </t>
  </si>
  <si>
    <t>código</t>
  </si>
  <si>
    <t>SEIXO ROLADO PARA APLICACAO EM CONCRETO (POSTO PEDREIRA/FORNECEDOR, SEM M3 70,37 FRETE) CR</t>
  </si>
  <si>
    <t>00006193 TABUA MADEIRA 2A QUALIDADE 2,5 X 20,0CM (1 X 8") NAO APARELHADA M CR 4,71</t>
  </si>
  <si>
    <t>Sarrafo 10 cm</t>
  </si>
  <si>
    <t>TELA DE ACO SOLDADA NERVURADA CA-60, Q-61, (0,97 KG/M2), DIAMETRO DO FIO = 3,4 MM, M2 5,99 LARGURA = 2,45 X 120 M DE COMPRIMENTO, ESPACAMENTO DA MALHA = 15 X 15 CM CR</t>
  </si>
  <si>
    <t>Composição de custos</t>
  </si>
  <si>
    <t>24.07.07.99</t>
  </si>
  <si>
    <t>R$/200 m2</t>
  </si>
  <si>
    <t>Memorial</t>
  </si>
  <si>
    <t>Orçamento</t>
  </si>
  <si>
    <t xml:space="preserve">30.01.01 </t>
  </si>
  <si>
    <t>30.01.03</t>
  </si>
  <si>
    <t>MO</t>
  </si>
  <si>
    <t>37.02.13.99</t>
  </si>
  <si>
    <t>24.15.09.04.99</t>
  </si>
  <si>
    <t>DRENOS LONGITUDINAIS PROFUNDOS PARA SOLOS ARENOSOS</t>
  </si>
  <si>
    <t>24.15.09.05.99</t>
  </si>
  <si>
    <t>DRENOS LONGITUDINAIS PROFUNDOS EM SOLOS SILTOSOS E/OU Argilosos</t>
  </si>
  <si>
    <t>25.03.04.04.99</t>
  </si>
  <si>
    <t>30.01.11</t>
  </si>
  <si>
    <t xml:space="preserve">Prefeitura Municipal </t>
  </si>
  <si>
    <t>Espirito Santo do Turvo</t>
  </si>
  <si>
    <t>Trecho 1</t>
  </si>
  <si>
    <t>Trecho 2</t>
  </si>
  <si>
    <t>Trecho 3</t>
  </si>
  <si>
    <t>A</t>
  </si>
  <si>
    <t>B</t>
  </si>
  <si>
    <t>C</t>
  </si>
  <si>
    <t>Extensão</t>
  </si>
  <si>
    <t>Serviços</t>
  </si>
  <si>
    <t>Desviador de Fluxo/Lombadas (considerarando-se   altura de 0,40m , comprimento médio de 1000m e largura da plataforma)</t>
  </si>
  <si>
    <t>Revestimento Alternativo (Concreto fck=30MPa)</t>
  </si>
  <si>
    <t>sarrafo de madeira 15 x 2,5 cm</t>
  </si>
  <si>
    <t>Concreto - FCK - 30</t>
  </si>
  <si>
    <t>Revestimento Alternativo - concreto FCK 30 (usinado) espessura de 15 cm. Base de cálculo: trilho duplo 100 m com faixa de 100 cm/cada=200 m2</t>
  </si>
  <si>
    <t>37.04.63</t>
  </si>
  <si>
    <t xml:space="preserve"> CANALETA CONCRETO 60CM</t>
  </si>
  <si>
    <t>37.04.40</t>
  </si>
  <si>
    <t>TUBO CONCRETO D=0,80M PA-2</t>
  </si>
  <si>
    <t>Mobilização e desmobilização</t>
  </si>
  <si>
    <t>gerenciaento da obra</t>
  </si>
  <si>
    <t>GOVERNO DO ESTADO DE SÃO PAULO</t>
  </si>
  <si>
    <t>ANEXO VIII DO MPO
PLANILHA DE ORÇAMENTO</t>
  </si>
  <si>
    <t>TOMADOR:</t>
  </si>
  <si>
    <t>FUNDO ESTADUAL DE RECURSOS HÍDRICOS - FEHIDRO</t>
  </si>
  <si>
    <t>EMPREENDIMENTO:</t>
  </si>
  <si>
    <t>,</t>
  </si>
  <si>
    <t>valores em R$</t>
  </si>
  <si>
    <t>Nº</t>
  </si>
  <si>
    <t>ITEM</t>
  </si>
  <si>
    <t>UNIDADE</t>
  </si>
  <si>
    <t>QUANT.</t>
  </si>
  <si>
    <t>VALOR UNITÁRIO</t>
  </si>
  <si>
    <t>VALOR TOTAL</t>
  </si>
  <si>
    <t>FONTE DO RECURSO</t>
  </si>
  <si>
    <t>FEHIDRO</t>
  </si>
  <si>
    <t>CONTRAPARTIDA</t>
  </si>
  <si>
    <t>OUTRAS FONTES FINANCIADORAS</t>
  </si>
  <si>
    <t>TOTAIS</t>
  </si>
  <si>
    <t>total geral</t>
  </si>
  <si>
    <t>PREFEITO MUNICIPAL</t>
  </si>
  <si>
    <t>RESPONSÁVEL LEGAL (2) - Somente nos casos do Proponente Tomador onde mais de um dirigente assina o contrato</t>
  </si>
  <si>
    <t>RESPONSÁVEL TÉCNICO</t>
  </si>
  <si>
    <t>ANEXO VII DO MPO
CRONOGRAMA FÍSICO- FINANCEIRO</t>
  </si>
  <si>
    <t xml:space="preserve">TOMADOR:  </t>
  </si>
  <si>
    <t>EMPREENDIMENTO</t>
  </si>
  <si>
    <t>DISCRIMINAÇÃO</t>
  </si>
  <si>
    <t>realizado até</t>
  </si>
  <si>
    <t>ÚLTIMA</t>
  </si>
  <si>
    <t>Total (em R$)</t>
  </si>
  <si>
    <t>DE  ATIVIDADES</t>
  </si>
  <si>
    <t xml:space="preserve">  /    /     </t>
  </si>
  <si>
    <t>Adequação da Plataforma</t>
  </si>
  <si>
    <t>Programação Financeira Preliminar (Preenchida pelo Proponente) - Utilize as colunas ao lado para indicar as parcelas de liberações previstas, conf. o desenvolvimento do empreendimento e/ou o processo licitatório, sendo a última de no mínimo 10% do valor FEHIDRO.</t>
  </si>
  <si>
    <t>DESEMBOLSO APROVADO  (Preenchido pelo AgenteTécnico, define número e valor de cada parcela)</t>
  </si>
  <si>
    <t>CONTRAPARTIDA APROVADA  (Preenchido pelo AgenteTécnico, define número e valor de cada parcela))</t>
  </si>
  <si>
    <t>Responsável Técnico</t>
  </si>
  <si>
    <t>Representante Legal Tomador</t>
  </si>
  <si>
    <t>Agente Técnico:</t>
  </si>
  <si>
    <t>Nome:</t>
  </si>
  <si>
    <t>Nome(1):</t>
  </si>
  <si>
    <t>Nome do Analista:</t>
  </si>
  <si>
    <t>Reg. Profissional:</t>
  </si>
  <si>
    <t>CREA</t>
  </si>
  <si>
    <t xml:space="preserve">RG: </t>
  </si>
  <si>
    <t>CPF:</t>
  </si>
  <si>
    <t>Assinatura:</t>
  </si>
  <si>
    <t>Somente no caso do Proponente Tomador onde mais de um Dirigente assina o contrato.</t>
  </si>
  <si>
    <t>Nome do Resp. pela Unidade:</t>
  </si>
  <si>
    <t>Nome(2):</t>
  </si>
  <si>
    <t>RG:</t>
  </si>
  <si>
    <t>Estrada EST 010 Trecho A</t>
  </si>
  <si>
    <t>Estrada EST 010 Trecho B</t>
  </si>
  <si>
    <t>Estrada EST 010 Trecho C</t>
  </si>
  <si>
    <t>TR A</t>
  </si>
  <si>
    <t>TR B</t>
  </si>
  <si>
    <t>TR C</t>
  </si>
  <si>
    <t>Drenagem</t>
  </si>
  <si>
    <t>Superficial</t>
  </si>
  <si>
    <t>Corrente</t>
  </si>
  <si>
    <t>Melhoria Plataforma</t>
  </si>
  <si>
    <t>Revestimento</t>
  </si>
  <si>
    <t>%</t>
  </si>
  <si>
    <t>Adeq da Proteção Vegl e Serv Compl</t>
  </si>
  <si>
    <t>Proteção Vegetal</t>
  </si>
  <si>
    <t>Serv Complementares</t>
  </si>
  <si>
    <t>CONTRAPARTIDA (2%)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</si>
  <si>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</si>
  <si>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</si>
  <si>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</si>
  <si>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</si>
  <si>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</si>
  <si>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</si>
  <si>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</si>
  <si>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</si>
  <si>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</si>
  <si>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</si>
  <si>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</si>
  <si>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</si>
  <si>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Sistema de Drenagem</t>
  </si>
  <si>
    <t>Proteção Vegetal e Serviços Complementares</t>
  </si>
  <si>
    <t>Recuperação e Adequação de Trechos Críticos da Estrada Rural EST 010</t>
  </si>
  <si>
    <t>INDICAR DATA BASE  (02/2017)</t>
  </si>
  <si>
    <t>A Realizar em (X) Mes(es)  (   ) Bimestre(s)  (   ) Trimestre(s)  (   ) Quadrimestre(s)  (   ) Semestre(s)</t>
  </si>
  <si>
    <t>FINANCIAMENTO (MAXIMO 98%)</t>
  </si>
  <si>
    <t>Dispositivos Esp Drenagem</t>
  </si>
  <si>
    <t>Prefeitura Municipal de Espirito Santo do Turvo</t>
  </si>
  <si>
    <t>SECRETARIA DE SANEAMENTO
E RECURSOS HÍDRICOS</t>
  </si>
  <si>
    <t>data base : 02/2017</t>
  </si>
  <si>
    <t>PREFEITURA MUNICIPAL de Espirito Santo do Turvo</t>
  </si>
  <si>
    <t>Recuperação e Adequação de Trechos Críticos da Estrada Rural EST 01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</si>
</sst>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#,##0.0"/>
    <numFmt numFmtId="190" formatCode="#,##0.0000"/>
    <numFmt numFmtId="191" formatCode="_(&quot;Cr$&quot;* #,##0.00_);_(&quot;Cr$&quot;* \(#,##0.00\);_(&quot;Cr$&quot;* &quot;-&quot;??_);_(@_)"/>
    <numFmt numFmtId="192" formatCode="_(* #,##0.000_);_(* \(#,##0.000\);_(* &quot;-&quot;??_);_(@_)"/>
    <numFmt numFmtId="193" formatCode="dd\-mmm\-yy"/>
    <numFmt numFmtId="194" formatCode="#,##0.00_ ;\-#,##0.00\ "/>
    <numFmt numFmtId="195" formatCode="#,##0.000_);\(#,##0.000\)"/>
    <numFmt numFmtId="196" formatCode="0.0000"/>
    <numFmt numFmtId="197" formatCode="0.000"/>
    <numFmt numFmtId="198" formatCode="_(* #,##0.0_);_(* \(#,##0.0\);_(* &quot;-&quot;??_);_(@_)"/>
    <numFmt numFmtId="199" formatCode="_(* #,##0_);_(* \(#,##0\);_(* &quot;-&quot;??_);_(@_)"/>
    <numFmt numFmtId="200" formatCode="&quot;Ativado&quot;;&quot;Ativado&quot;;&quot;Desativado&quot;"/>
    <numFmt numFmtId="201" formatCode="#,##0.000;\-#,##0.000"/>
  </numFmts>
  <fonts count="6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63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color indexed="56"/>
      <name val="Verdana"/>
      <family val="2"/>
    </font>
    <font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11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56"/>
      <name val="Verdana"/>
      <family val="2"/>
    </font>
    <font>
      <b/>
      <sz val="8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6"/>
      <color indexed="56"/>
      <name val="Verdana"/>
      <family val="2"/>
    </font>
    <font>
      <sz val="16"/>
      <color indexed="8"/>
      <name val="Arial"/>
      <family val="2"/>
    </font>
    <font>
      <b/>
      <sz val="12"/>
      <color indexed="56"/>
      <name val="Arial"/>
      <family val="2"/>
    </font>
    <font>
      <sz val="13"/>
      <color indexed="56"/>
      <name val="Verdana"/>
      <family val="2"/>
    </font>
    <font>
      <b/>
      <sz val="12"/>
      <color indexed="56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sz val="12"/>
      <color indexed="56"/>
      <name val="Verdana"/>
      <family val="2"/>
    </font>
    <font>
      <sz val="16"/>
      <color indexed="56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20"/>
      <color indexed="56"/>
      <name val="Verdana"/>
      <family val="2"/>
    </font>
    <font>
      <sz val="20"/>
      <color indexed="56"/>
      <name val="Verdana"/>
      <family val="2"/>
    </font>
    <font>
      <sz val="14"/>
      <color indexed="56"/>
      <name val="Verdana"/>
      <family val="2"/>
    </font>
    <font>
      <sz val="10"/>
      <color indexed="56"/>
      <name val="Arial"/>
      <family val="2"/>
    </font>
    <font>
      <b/>
      <i/>
      <sz val="12"/>
      <color indexed="10"/>
      <name val="Verdana"/>
      <family val="2"/>
    </font>
    <font>
      <sz val="10"/>
      <color indexed="18"/>
      <name val="Arial"/>
      <family val="0"/>
    </font>
    <font>
      <b/>
      <sz val="12"/>
      <color indexed="10"/>
      <name val="Arial"/>
      <family val="2"/>
    </font>
    <font>
      <sz val="10"/>
      <color indexed="10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/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/>
      <right style="medium"/>
      <top style="medium"/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56"/>
      </bottom>
    </border>
    <border>
      <left>
        <color indexed="63"/>
      </left>
      <right style="medium"/>
      <top style="medium">
        <color indexed="56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56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38"/>
      </bottom>
    </border>
    <border>
      <left style="medium">
        <color indexed="56"/>
      </left>
      <right style="medium">
        <color indexed="56"/>
      </right>
      <top style="thin">
        <color indexed="38"/>
      </top>
      <bottom style="medium">
        <color indexed="56"/>
      </bottom>
    </border>
    <border>
      <left style="medium">
        <color indexed="56"/>
      </left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ck">
        <color indexed="8"/>
      </right>
      <top style="medium">
        <color indexed="56"/>
      </top>
      <bottom>
        <color indexed="63"/>
      </bottom>
    </border>
    <border>
      <left style="thick">
        <color indexed="8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medium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thin">
        <color indexed="8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4" borderId="0" applyNumberFormat="0" applyBorder="0" applyAlignment="0" applyProtection="0"/>
    <xf numFmtId="0" fontId="51" fillId="16" borderId="1" applyNumberFormat="0" applyAlignment="0" applyProtection="0"/>
    <xf numFmtId="0" fontId="52" fillId="17" borderId="2" applyNumberFormat="0" applyAlignment="0" applyProtection="0"/>
    <xf numFmtId="0" fontId="53" fillId="0" borderId="3" applyNumberFormat="0" applyFill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5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6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4" fontId="0" fillId="24" borderId="12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0" fillId="0" borderId="12" xfId="0" applyNumberForma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4" fontId="0" fillId="0" borderId="11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4" fontId="0" fillId="0" borderId="20" xfId="0" applyNumberFormat="1" applyFill="1" applyBorder="1" applyAlignment="1">
      <alignment vertical="center"/>
    </xf>
    <xf numFmtId="0" fontId="1" fillId="24" borderId="21" xfId="0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21" xfId="0" applyFont="1" applyFill="1" applyBorder="1" applyAlignment="1">
      <alignment horizontal="left" vertical="center"/>
    </xf>
    <xf numFmtId="171" fontId="0" fillId="24" borderId="11" xfId="54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/>
    </xf>
    <xf numFmtId="4" fontId="0" fillId="24" borderId="11" xfId="0" applyNumberFormat="1" applyFont="1" applyFill="1" applyBorder="1" applyAlignment="1">
      <alignment vertical="center"/>
    </xf>
    <xf numFmtId="4" fontId="0" fillId="24" borderId="33" xfId="0" applyNumberFormat="1" applyFont="1" applyFill="1" applyBorder="1" applyAlignment="1">
      <alignment vertical="center"/>
    </xf>
    <xf numFmtId="4" fontId="0" fillId="24" borderId="12" xfId="0" applyNumberFormat="1" applyFont="1" applyFill="1" applyBorder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24" borderId="15" xfId="0" applyNumberFormat="1" applyFill="1" applyBorder="1" applyAlignment="1">
      <alignment horizontal="center" vertical="center"/>
    </xf>
    <xf numFmtId="4" fontId="0" fillId="24" borderId="13" xfId="0" applyNumberFormat="1" applyFill="1" applyBorder="1" applyAlignment="1">
      <alignment horizontal="center" vertical="center"/>
    </xf>
    <xf numFmtId="4" fontId="0" fillId="24" borderId="18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1" fillId="24" borderId="0" xfId="0" applyNumberFormat="1" applyFont="1" applyFill="1" applyBorder="1" applyAlignment="1">
      <alignment horizontal="center" vertical="center"/>
    </xf>
    <xf numFmtId="4" fontId="0" fillId="24" borderId="18" xfId="54" applyNumberFormat="1" applyFont="1" applyFill="1" applyBorder="1" applyAlignment="1">
      <alignment horizontal="center" vertical="center"/>
    </xf>
    <xf numFmtId="4" fontId="0" fillId="24" borderId="15" xfId="54" applyNumberFormat="1" applyFont="1" applyFill="1" applyBorder="1" applyAlignment="1">
      <alignment horizontal="center" vertical="center"/>
    </xf>
    <xf numFmtId="4" fontId="1" fillId="24" borderId="21" xfId="0" applyNumberFormat="1" applyFont="1" applyFill="1" applyBorder="1" applyAlignment="1">
      <alignment horizontal="center" vertical="center"/>
    </xf>
    <xf numFmtId="4" fontId="0" fillId="24" borderId="13" xfId="54" applyNumberFormat="1" applyFont="1" applyFill="1" applyBorder="1" applyAlignment="1">
      <alignment horizontal="center" vertical="center"/>
    </xf>
    <xf numFmtId="4" fontId="0" fillId="24" borderId="34" xfId="0" applyNumberFormat="1" applyFont="1" applyFill="1" applyBorder="1" applyAlignment="1">
      <alignment horizontal="center" vertical="center"/>
    </xf>
    <xf numFmtId="4" fontId="0" fillId="24" borderId="35" xfId="0" applyNumberFormat="1" applyFont="1" applyFill="1" applyBorder="1" applyAlignment="1">
      <alignment horizontal="center" vertical="center"/>
    </xf>
    <xf numFmtId="4" fontId="0" fillId="24" borderId="36" xfId="0" applyNumberFormat="1" applyFont="1" applyFill="1" applyBorder="1" applyAlignment="1">
      <alignment horizontal="center" vertical="center"/>
    </xf>
    <xf numFmtId="4" fontId="0" fillId="24" borderId="37" xfId="0" applyNumberFormat="1" applyFont="1" applyFill="1" applyBorder="1" applyAlignment="1">
      <alignment horizontal="center" vertical="center"/>
    </xf>
    <xf numFmtId="4" fontId="0" fillId="0" borderId="15" xfId="54" applyNumberFormat="1" applyFont="1" applyFill="1" applyBorder="1" applyAlignment="1">
      <alignment horizontal="center" vertical="center"/>
    </xf>
    <xf numFmtId="4" fontId="0" fillId="0" borderId="13" xfId="54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23" borderId="36" xfId="0" applyFont="1" applyFill="1" applyBorder="1" applyAlignment="1">
      <alignment horizontal="center" vertical="center"/>
    </xf>
    <xf numFmtId="0" fontId="1" fillId="23" borderId="25" xfId="0" applyFont="1" applyFill="1" applyBorder="1" applyAlignment="1">
      <alignment horizontal="center" vertical="center"/>
    </xf>
    <xf numFmtId="0" fontId="1" fillId="25" borderId="36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171" fontId="0" fillId="0" borderId="13" xfId="54" applyFont="1" applyBorder="1" applyAlignment="1">
      <alignment horizontal="center" vertical="center"/>
    </xf>
    <xf numFmtId="171" fontId="0" fillId="0" borderId="13" xfId="54" applyFont="1" applyBorder="1" applyAlignment="1">
      <alignment horizontal="center" vertical="center" wrapText="1"/>
    </xf>
    <xf numFmtId="171" fontId="0" fillId="0" borderId="0" xfId="54" applyFont="1" applyAlignment="1">
      <alignment horizontal="center" vertical="center"/>
    </xf>
    <xf numFmtId="171" fontId="1" fillId="0" borderId="0" xfId="54" applyFont="1" applyAlignment="1">
      <alignment horizontal="center" vertical="center"/>
    </xf>
    <xf numFmtId="171" fontId="0" fillId="0" borderId="13" xfId="54" applyFont="1" applyBorder="1" applyAlignment="1">
      <alignment horizontal="center" vertical="center"/>
    </xf>
    <xf numFmtId="4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50" applyFont="1" applyFill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171" fontId="0" fillId="0" borderId="0" xfId="54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1" fontId="13" fillId="0" borderId="0" xfId="54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0" fontId="8" fillId="0" borderId="0" xfId="0" applyFont="1" applyBorder="1" applyAlignment="1">
      <alignment wrapText="1"/>
    </xf>
    <xf numFmtId="171" fontId="1" fillId="0" borderId="0" xfId="54" applyFont="1" applyAlignment="1">
      <alignment/>
    </xf>
    <xf numFmtId="43" fontId="0" fillId="4" borderId="0" xfId="0" applyNumberForma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4" fontId="0" fillId="26" borderId="0" xfId="0" applyNumberFormat="1" applyFill="1" applyAlignment="1">
      <alignment wrapText="1"/>
    </xf>
    <xf numFmtId="4" fontId="0" fillId="26" borderId="0" xfId="0" applyNumberFormat="1" applyFill="1" applyAlignment="1">
      <alignment/>
    </xf>
    <xf numFmtId="4" fontId="1" fillId="26" borderId="0" xfId="0" applyNumberFormat="1" applyFont="1" applyFill="1" applyAlignment="1">
      <alignment/>
    </xf>
    <xf numFmtId="0" fontId="0" fillId="26" borderId="0" xfId="0" applyFill="1" applyAlignment="1">
      <alignment/>
    </xf>
    <xf numFmtId="4" fontId="0" fillId="26" borderId="0" xfId="0" applyNumberFormat="1" applyFont="1" applyFill="1" applyAlignment="1">
      <alignment/>
    </xf>
    <xf numFmtId="43" fontId="1" fillId="26" borderId="0" xfId="0" applyNumberFormat="1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8" fontId="0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8" fontId="11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4" fontId="0" fillId="0" borderId="34" xfId="0" applyNumberForma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44" xfId="0" applyNumberFormat="1" applyBorder="1" applyAlignment="1">
      <alignment vertical="center"/>
    </xf>
    <xf numFmtId="4" fontId="0" fillId="0" borderId="45" xfId="0" applyNumberFormat="1" applyBorder="1" applyAlignment="1">
      <alignment vertical="center"/>
    </xf>
    <xf numFmtId="4" fontId="0" fillId="0" borderId="46" xfId="0" applyNumberFormat="1" applyFill="1" applyBorder="1" applyAlignment="1">
      <alignment vertical="center"/>
    </xf>
    <xf numFmtId="4" fontId="0" fillId="0" borderId="44" xfId="0" applyNumberForma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0" fillId="24" borderId="44" xfId="0" applyNumberFormat="1" applyFill="1" applyBorder="1" applyAlignment="1">
      <alignment vertical="center"/>
    </xf>
    <xf numFmtId="4" fontId="0" fillId="24" borderId="45" xfId="0" applyNumberFormat="1" applyFill="1" applyBorder="1" applyAlignment="1">
      <alignment vertical="center"/>
    </xf>
    <xf numFmtId="4" fontId="0" fillId="24" borderId="46" xfId="0" applyNumberForma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4" fontId="1" fillId="0" borderId="51" xfId="0" applyNumberFormat="1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71" fontId="0" fillId="24" borderId="45" xfId="54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24" borderId="44" xfId="0" applyFont="1" applyFill="1" applyBorder="1" applyAlignment="1">
      <alignment horizontal="right" vertical="center"/>
    </xf>
    <xf numFmtId="171" fontId="2" fillId="0" borderId="26" xfId="54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55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5" fillId="0" borderId="56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17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57" xfId="0" applyNumberFormat="1" applyFont="1" applyFill="1" applyBorder="1" applyAlignment="1">
      <alignment horizontal="center" vertical="center"/>
    </xf>
    <xf numFmtId="4" fontId="24" fillId="0" borderId="57" xfId="0" applyNumberFormat="1" applyFont="1" applyFill="1" applyBorder="1" applyAlignment="1">
      <alignment vertical="center" wrapText="1"/>
    </xf>
    <xf numFmtId="191" fontId="21" fillId="0" borderId="0" xfId="0" applyNumberFormat="1" applyFont="1" applyFill="1" applyBorder="1" applyAlignment="1">
      <alignment horizontal="center" vertical="center"/>
    </xf>
    <xf numFmtId="0" fontId="21" fillId="23" borderId="58" xfId="0" applyFont="1" applyFill="1" applyBorder="1" applyAlignment="1">
      <alignment horizontal="center" vertical="center"/>
    </xf>
    <xf numFmtId="17" fontId="21" fillId="23" borderId="58" xfId="0" applyNumberFormat="1" applyFont="1" applyFill="1" applyBorder="1" applyAlignment="1">
      <alignment horizontal="center" vertical="center"/>
    </xf>
    <xf numFmtId="4" fontId="24" fillId="23" borderId="58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1" fillId="0" borderId="59" xfId="0" applyNumberFormat="1" applyFont="1" applyFill="1" applyBorder="1" applyAlignment="1">
      <alignment horizontal="center"/>
    </xf>
    <xf numFmtId="171" fontId="26" fillId="0" borderId="59" xfId="0" applyNumberFormat="1" applyFont="1" applyFill="1" applyBorder="1" applyAlignment="1">
      <alignment horizontal="center" wrapText="1"/>
    </xf>
    <xf numFmtId="171" fontId="21" fillId="0" borderId="59" xfId="54" applyNumberFormat="1" applyFont="1" applyFill="1" applyBorder="1" applyAlignment="1">
      <alignment horizontal="right"/>
    </xf>
    <xf numFmtId="4" fontId="26" fillId="0" borderId="59" xfId="0" applyNumberFormat="1" applyFont="1" applyFill="1" applyBorder="1" applyAlignment="1">
      <alignment/>
    </xf>
    <xf numFmtId="4" fontId="26" fillId="0" borderId="59" xfId="47" applyNumberFormat="1" applyFont="1" applyFill="1" applyBorder="1" applyAlignment="1">
      <alignment/>
    </xf>
    <xf numFmtId="4" fontId="21" fillId="0" borderId="59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1" fillId="0" borderId="60" xfId="0" applyNumberFormat="1" applyFont="1" applyFill="1" applyBorder="1" applyAlignment="1">
      <alignment horizontal="center"/>
    </xf>
    <xf numFmtId="4" fontId="26" fillId="0" borderId="60" xfId="0" applyNumberFormat="1" applyFont="1" applyFill="1" applyBorder="1" applyAlignment="1">
      <alignment/>
    </xf>
    <xf numFmtId="0" fontId="21" fillId="0" borderId="60" xfId="0" applyNumberFormat="1" applyFont="1" applyFill="1" applyBorder="1" applyAlignment="1">
      <alignment horizontal="center" wrapText="1"/>
    </xf>
    <xf numFmtId="4" fontId="26" fillId="0" borderId="60" xfId="0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1" fillId="0" borderId="61" xfId="0" applyNumberFormat="1" applyFont="1" applyFill="1" applyBorder="1" applyAlignment="1">
      <alignment horizontal="center"/>
    </xf>
    <xf numFmtId="171" fontId="26" fillId="0" borderId="61" xfId="0" applyNumberFormat="1" applyFont="1" applyFill="1" applyBorder="1" applyAlignment="1">
      <alignment wrapText="1"/>
    </xf>
    <xf numFmtId="0" fontId="26" fillId="0" borderId="61" xfId="0" applyNumberFormat="1" applyFont="1" applyFill="1" applyBorder="1" applyAlignment="1">
      <alignment/>
    </xf>
    <xf numFmtId="4" fontId="26" fillId="0" borderId="61" xfId="0" applyNumberFormat="1" applyFont="1" applyFill="1" applyBorder="1" applyAlignment="1">
      <alignment/>
    </xf>
    <xf numFmtId="4" fontId="21" fillId="0" borderId="57" xfId="0" applyNumberFormat="1" applyFont="1" applyFill="1" applyBorder="1" applyAlignment="1" applyProtection="1">
      <alignment/>
      <protection hidden="1" locked="0"/>
    </xf>
    <xf numFmtId="0" fontId="24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 hidden="1" locked="0"/>
    </xf>
    <xf numFmtId="2" fontId="26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8" fillId="0" borderId="62" xfId="0" applyFont="1" applyBorder="1" applyAlignment="1">
      <alignment/>
    </xf>
    <xf numFmtId="0" fontId="20" fillId="0" borderId="62" xfId="0" applyFont="1" applyBorder="1" applyAlignment="1">
      <alignment/>
    </xf>
    <xf numFmtId="0" fontId="24" fillId="0" borderId="63" xfId="0" applyFont="1" applyBorder="1" applyAlignment="1">
      <alignment/>
    </xf>
    <xf numFmtId="0" fontId="24" fillId="0" borderId="63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9" fillId="0" borderId="0" xfId="0" applyFont="1" applyAlignment="1">
      <alignment/>
    </xf>
    <xf numFmtId="0" fontId="20" fillId="0" borderId="64" xfId="0" applyFont="1" applyFill="1" applyBorder="1" applyAlignment="1">
      <alignment shrinkToFit="1"/>
    </xf>
    <xf numFmtId="0" fontId="20" fillId="0" borderId="65" xfId="0" applyFont="1" applyFill="1" applyBorder="1" applyAlignment="1">
      <alignment shrinkToFit="1"/>
    </xf>
    <xf numFmtId="0" fontId="20" fillId="0" borderId="64" xfId="0" applyFont="1" applyBorder="1" applyAlignment="1">
      <alignment/>
    </xf>
    <xf numFmtId="0" fontId="20" fillId="0" borderId="66" xfId="0" applyFont="1" applyFill="1" applyBorder="1" applyAlignment="1">
      <alignment shrinkToFit="1"/>
    </xf>
    <xf numFmtId="0" fontId="20" fillId="0" borderId="67" xfId="0" applyFont="1" applyFill="1" applyBorder="1" applyAlignment="1">
      <alignment shrinkToFit="1"/>
    </xf>
    <xf numFmtId="0" fontId="20" fillId="0" borderId="68" xfId="0" applyFont="1" applyFill="1" applyBorder="1" applyAlignment="1">
      <alignment shrinkToFit="1"/>
    </xf>
    <xf numFmtId="0" fontId="20" fillId="0" borderId="69" xfId="0" applyFont="1" applyFill="1" applyBorder="1" applyAlignment="1">
      <alignment shrinkToFit="1"/>
    </xf>
    <xf numFmtId="0" fontId="33" fillId="0" borderId="64" xfId="0" applyFont="1" applyFill="1" applyBorder="1" applyAlignment="1">
      <alignment shrinkToFit="1"/>
    </xf>
    <xf numFmtId="0" fontId="33" fillId="0" borderId="0" xfId="0" applyFont="1" applyFill="1" applyBorder="1" applyAlignment="1">
      <alignment shrinkToFit="1"/>
    </xf>
    <xf numFmtId="0" fontId="30" fillId="0" borderId="70" xfId="0" applyFont="1" applyFill="1" applyBorder="1" applyAlignment="1" applyProtection="1">
      <alignment horizontal="center" shrinkToFit="1"/>
      <protection locked="0"/>
    </xf>
    <xf numFmtId="0" fontId="30" fillId="0" borderId="70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Border="1" applyAlignment="1">
      <alignment/>
    </xf>
    <xf numFmtId="191" fontId="30" fillId="0" borderId="71" xfId="0" applyNumberFormat="1" applyFont="1" applyFill="1" applyBorder="1" applyAlignment="1" applyProtection="1">
      <alignment horizontal="center" vertical="center" shrinkToFit="1"/>
      <protection locked="0"/>
    </xf>
    <xf numFmtId="193" fontId="30" fillId="0" borderId="71" xfId="0" applyNumberFormat="1" applyFont="1" applyFill="1" applyBorder="1" applyAlignment="1" applyProtection="1">
      <alignment horizontal="center" vertical="center" shrinkToFit="1"/>
      <protection locked="0"/>
    </xf>
    <xf numFmtId="1" fontId="30" fillId="0" borderId="57" xfId="0" applyNumberFormat="1" applyFont="1" applyFill="1" applyBorder="1" applyAlignment="1" applyProtection="1">
      <alignment horizontal="center" shrinkToFit="1"/>
      <protection locked="0"/>
    </xf>
    <xf numFmtId="1" fontId="30" fillId="0" borderId="72" xfId="0" applyNumberFormat="1" applyFont="1" applyFill="1" applyBorder="1" applyAlignment="1" applyProtection="1">
      <alignment horizontal="center" shrinkToFit="1"/>
      <protection locked="0"/>
    </xf>
    <xf numFmtId="39" fontId="39" fillId="0" borderId="73" xfId="0" applyNumberFormat="1" applyFont="1" applyFill="1" applyBorder="1" applyAlignment="1" applyProtection="1">
      <alignment shrinkToFit="1"/>
      <protection locked="0"/>
    </xf>
    <xf numFmtId="39" fontId="39" fillId="0" borderId="74" xfId="0" applyNumberFormat="1" applyFont="1" applyFill="1" applyBorder="1" applyAlignment="1" applyProtection="1">
      <alignment shrinkToFit="1"/>
      <protection locked="0"/>
    </xf>
    <xf numFmtId="39" fontId="37" fillId="0" borderId="74" xfId="0" applyNumberFormat="1" applyFont="1" applyFill="1" applyBorder="1" applyAlignment="1" applyProtection="1">
      <alignment shrinkToFit="1"/>
      <protection locked="0"/>
    </xf>
    <xf numFmtId="4" fontId="37" fillId="0" borderId="0" xfId="0" applyNumberFormat="1" applyFont="1" applyBorder="1" applyAlignment="1">
      <alignment/>
    </xf>
    <xf numFmtId="4" fontId="0" fillId="25" borderId="13" xfId="0" applyNumberFormat="1" applyFill="1" applyBorder="1" applyAlignment="1">
      <alignment/>
    </xf>
    <xf numFmtId="39" fontId="39" fillId="0" borderId="75" xfId="0" applyNumberFormat="1" applyFont="1" applyFill="1" applyBorder="1" applyAlignment="1" applyProtection="1">
      <alignment shrinkToFit="1"/>
      <protection locked="0"/>
    </xf>
    <xf numFmtId="39" fontId="37" fillId="0" borderId="75" xfId="0" applyNumberFormat="1" applyFont="1" applyFill="1" applyBorder="1" applyAlignment="1" applyProtection="1">
      <alignment shrinkToFit="1"/>
      <protection locked="0"/>
    </xf>
    <xf numFmtId="39" fontId="37" fillId="0" borderId="73" xfId="0" applyNumberFormat="1" applyFont="1" applyFill="1" applyBorder="1" applyAlignment="1" applyProtection="1">
      <alignment shrinkToFit="1"/>
      <protection locked="0"/>
    </xf>
    <xf numFmtId="39" fontId="39" fillId="27" borderId="73" xfId="0" applyNumberFormat="1" applyFont="1" applyFill="1" applyBorder="1" applyAlignment="1" applyProtection="1">
      <alignment shrinkToFit="1"/>
      <protection locked="0"/>
    </xf>
    <xf numFmtId="194" fontId="37" fillId="0" borderId="0" xfId="0" applyNumberFormat="1" applyFont="1" applyBorder="1" applyAlignment="1">
      <alignment/>
    </xf>
    <xf numFmtId="39" fontId="39" fillId="0" borderId="76" xfId="0" applyNumberFormat="1" applyFont="1" applyFill="1" applyBorder="1" applyAlignment="1" applyProtection="1">
      <alignment shrinkToFit="1"/>
      <protection locked="0"/>
    </xf>
    <xf numFmtId="0" fontId="37" fillId="0" borderId="77" xfId="0" applyFont="1" applyBorder="1" applyAlignment="1">
      <alignment/>
    </xf>
    <xf numFmtId="195" fontId="39" fillId="0" borderId="73" xfId="0" applyNumberFormat="1" applyFont="1" applyFill="1" applyBorder="1" applyAlignment="1" applyProtection="1">
      <alignment shrinkToFit="1"/>
      <protection locked="0"/>
    </xf>
    <xf numFmtId="0" fontId="34" fillId="0" borderId="0" xfId="0" applyFont="1" applyBorder="1" applyAlignment="1">
      <alignment/>
    </xf>
    <xf numFmtId="0" fontId="24" fillId="0" borderId="0" xfId="0" applyFont="1" applyBorder="1" applyAlignment="1">
      <alignment/>
    </xf>
    <xf numFmtId="39" fontId="37" fillId="0" borderId="78" xfId="0" applyNumberFormat="1" applyFont="1" applyFill="1" applyBorder="1" applyAlignment="1" applyProtection="1">
      <alignment shrinkToFit="1"/>
      <protection locked="0"/>
    </xf>
    <xf numFmtId="39" fontId="34" fillId="0" borderId="75" xfId="0" applyNumberFormat="1" applyFont="1" applyFill="1" applyBorder="1" applyAlignment="1" applyProtection="1">
      <alignment shrinkToFit="1"/>
      <protection locked="0"/>
    </xf>
    <xf numFmtId="39" fontId="30" fillId="0" borderId="57" xfId="0" applyNumberFormat="1" applyFont="1" applyFill="1" applyBorder="1" applyAlignment="1" applyProtection="1">
      <alignment shrinkToFit="1"/>
      <protection locked="0"/>
    </xf>
    <xf numFmtId="39" fontId="26" fillId="0" borderId="57" xfId="0" applyNumberFormat="1" applyFont="1" applyFill="1" applyBorder="1" applyAlignment="1" applyProtection="1">
      <alignment shrinkToFit="1"/>
      <protection locked="0"/>
    </xf>
    <xf numFmtId="39" fontId="30" fillId="0" borderId="70" xfId="0" applyNumberFormat="1" applyFont="1" applyFill="1" applyBorder="1" applyAlignment="1" applyProtection="1">
      <alignment shrinkToFit="1"/>
      <protection locked="0"/>
    </xf>
    <xf numFmtId="39" fontId="26" fillId="0" borderId="70" xfId="0" applyNumberFormat="1" applyFont="1" applyFill="1" applyBorder="1" applyAlignment="1" applyProtection="1">
      <alignment shrinkToFit="1"/>
      <protection locked="0"/>
    </xf>
    <xf numFmtId="39" fontId="37" fillId="0" borderId="70" xfId="0" applyNumberFormat="1" applyFont="1" applyFill="1" applyBorder="1" applyAlignment="1" applyProtection="1">
      <alignment horizontal="center" vertical="center" shrinkToFit="1"/>
      <protection locked="0"/>
    </xf>
    <xf numFmtId="194" fontId="38" fillId="0" borderId="0" xfId="0" applyNumberFormat="1" applyFont="1" applyBorder="1" applyAlignment="1">
      <alignment/>
    </xf>
    <xf numFmtId="39" fontId="37" fillId="0" borderId="79" xfId="0" applyNumberFormat="1" applyFont="1" applyFill="1" applyBorder="1" applyAlignment="1" applyProtection="1">
      <alignment shrinkToFit="1"/>
      <protection locked="0"/>
    </xf>
    <xf numFmtId="39" fontId="30" fillId="0" borderId="80" xfId="0" applyNumberFormat="1" applyFont="1" applyFill="1" applyBorder="1" applyAlignment="1" applyProtection="1">
      <alignment shrinkToFi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79" xfId="0" applyFont="1" applyFill="1" applyBorder="1" applyAlignment="1" applyProtection="1">
      <alignment horizontal="left" vertical="center" wrapText="1"/>
      <protection locked="0"/>
    </xf>
    <xf numFmtId="0" fontId="30" fillId="0" borderId="81" xfId="0" applyFont="1" applyFill="1" applyBorder="1" applyAlignment="1" applyProtection="1">
      <alignment shrinkToFit="1"/>
      <protection locked="0"/>
    </xf>
    <xf numFmtId="0" fontId="30" fillId="0" borderId="82" xfId="0" applyFont="1" applyFill="1" applyBorder="1" applyAlignment="1" applyProtection="1">
      <alignment shrinkToFit="1"/>
      <protection locked="0"/>
    </xf>
    <xf numFmtId="0" fontId="38" fillId="0" borderId="82" xfId="0" applyFont="1" applyFill="1" applyBorder="1" applyAlignment="1" applyProtection="1">
      <alignment shrinkToFit="1"/>
      <protection locked="0"/>
    </xf>
    <xf numFmtId="39" fontId="30" fillId="0" borderId="0" xfId="0" applyNumberFormat="1" applyFont="1" applyFill="1" applyBorder="1" applyAlignment="1" applyProtection="1">
      <alignment horizontal="right" shrinkToFit="1"/>
      <protection locked="0"/>
    </xf>
    <xf numFmtId="39" fontId="30" fillId="0" borderId="0" xfId="0" applyNumberFormat="1" applyFont="1" applyFill="1" applyBorder="1" applyAlignment="1" applyProtection="1">
      <alignment shrinkToFit="1"/>
      <protection locked="0"/>
    </xf>
    <xf numFmtId="0" fontId="19" fillId="0" borderId="83" xfId="0" applyFont="1" applyFill="1" applyBorder="1" applyAlignment="1" applyProtection="1">
      <alignment shrinkToFit="1"/>
      <protection locked="0"/>
    </xf>
    <xf numFmtId="39" fontId="19" fillId="0" borderId="83" xfId="0" applyNumberFormat="1" applyFont="1" applyFill="1" applyBorder="1" applyAlignment="1" applyProtection="1">
      <alignment horizontal="left" shrinkToFit="1"/>
      <protection locked="0"/>
    </xf>
    <xf numFmtId="0" fontId="43" fillId="0" borderId="0" xfId="0" applyFont="1" applyBorder="1" applyAlignment="1">
      <alignment/>
    </xf>
    <xf numFmtId="39" fontId="19" fillId="0" borderId="55" xfId="0" applyNumberFormat="1" applyFont="1" applyFill="1" applyBorder="1" applyAlignment="1" applyProtection="1">
      <alignment horizontal="left" shrinkToFit="1"/>
      <protection locked="0"/>
    </xf>
    <xf numFmtId="0" fontId="20" fillId="0" borderId="0" xfId="0" applyFont="1" applyBorder="1" applyAlignment="1">
      <alignment/>
    </xf>
    <xf numFmtId="2" fontId="43" fillId="0" borderId="0" xfId="0" applyNumberFormat="1" applyFont="1" applyBorder="1" applyAlignment="1">
      <alignment shrinkToFit="1"/>
    </xf>
    <xf numFmtId="2" fontId="37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2" fontId="42" fillId="0" borderId="0" xfId="0" applyNumberFormat="1" applyFont="1" applyBorder="1" applyAlignment="1">
      <alignment/>
    </xf>
    <xf numFmtId="9" fontId="20" fillId="0" borderId="0" xfId="52" applyFont="1" applyBorder="1" applyAlignment="1">
      <alignment/>
    </xf>
    <xf numFmtId="0" fontId="20" fillId="0" borderId="66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0" fontId="46" fillId="0" borderId="0" xfId="0" applyFont="1" applyFill="1" applyAlignment="1">
      <alignment horizontal="center" vertical="center"/>
    </xf>
    <xf numFmtId="171" fontId="46" fillId="0" borderId="0" xfId="54" applyFont="1" applyFill="1" applyAlignment="1">
      <alignment horizontal="center" vertical="center"/>
    </xf>
    <xf numFmtId="43" fontId="13" fillId="0" borderId="0" xfId="0" applyNumberFormat="1" applyFont="1" applyFill="1" applyAlignment="1">
      <alignment/>
    </xf>
    <xf numFmtId="171" fontId="13" fillId="0" borderId="0" xfId="54" applyFont="1" applyAlignment="1">
      <alignment horizontal="center" vertical="center"/>
    </xf>
    <xf numFmtId="0" fontId="13" fillId="0" borderId="0" xfId="0" applyFont="1" applyFill="1" applyAlignment="1">
      <alignment/>
    </xf>
    <xf numFmtId="171" fontId="46" fillId="0" borderId="0" xfId="54" applyFont="1" applyFill="1" applyAlignment="1">
      <alignment/>
    </xf>
    <xf numFmtId="171" fontId="46" fillId="0" borderId="0" xfId="54" applyFont="1" applyAlignment="1">
      <alignment/>
    </xf>
    <xf numFmtId="171" fontId="0" fillId="0" borderId="0" xfId="54" applyFont="1" applyAlignment="1">
      <alignment/>
    </xf>
    <xf numFmtId="0" fontId="0" fillId="0" borderId="0" xfId="0" applyAlignment="1">
      <alignment horizontal="left" indent="1"/>
    </xf>
    <xf numFmtId="199" fontId="0" fillId="0" borderId="0" xfId="54" applyNumberFormat="1" applyFont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1" fontId="0" fillId="24" borderId="45" xfId="0" applyNumberFormat="1" applyFont="1" applyFill="1" applyBorder="1" applyAlignment="1">
      <alignment horizontal="right" vertical="center"/>
    </xf>
    <xf numFmtId="0" fontId="0" fillId="24" borderId="45" xfId="0" applyFont="1" applyFill="1" applyBorder="1" applyAlignment="1">
      <alignment horizontal="right" vertical="center"/>
    </xf>
    <xf numFmtId="0" fontId="0" fillId="24" borderId="84" xfId="0" applyFont="1" applyFill="1" applyBorder="1" applyAlignment="1">
      <alignment horizontal="right" vertical="center"/>
    </xf>
    <xf numFmtId="0" fontId="0" fillId="24" borderId="46" xfId="0" applyFont="1" applyFill="1" applyBorder="1" applyAlignment="1">
      <alignment horizontal="right" vertical="center"/>
    </xf>
    <xf numFmtId="171" fontId="46" fillId="0" borderId="0" xfId="54" applyFont="1" applyAlignment="1">
      <alignment/>
    </xf>
    <xf numFmtId="199" fontId="13" fillId="0" borderId="0" xfId="0" applyNumberFormat="1" applyFont="1" applyAlignment="1">
      <alignment/>
    </xf>
    <xf numFmtId="199" fontId="13" fillId="0" borderId="0" xfId="54" applyNumberFormat="1" applyFont="1" applyAlignment="1">
      <alignment/>
    </xf>
    <xf numFmtId="171" fontId="0" fillId="24" borderId="44" xfId="54" applyFont="1" applyFill="1" applyBorder="1" applyAlignment="1">
      <alignment horizontal="right" vertical="center"/>
    </xf>
    <xf numFmtId="171" fontId="0" fillId="24" borderId="10" xfId="54" applyFont="1" applyFill="1" applyBorder="1" applyAlignment="1">
      <alignment vertical="center"/>
    </xf>
    <xf numFmtId="171" fontId="0" fillId="24" borderId="46" xfId="54" applyFont="1" applyFill="1" applyBorder="1" applyAlignment="1">
      <alignment horizontal="right" vertical="center"/>
    </xf>
    <xf numFmtId="171" fontId="0" fillId="24" borderId="12" xfId="54" applyFont="1" applyFill="1" applyBorder="1" applyAlignment="1">
      <alignment vertical="center"/>
    </xf>
    <xf numFmtId="43" fontId="13" fillId="0" borderId="0" xfId="0" applyNumberFormat="1" applyFont="1" applyFill="1" applyAlignment="1">
      <alignment/>
    </xf>
    <xf numFmtId="171" fontId="13" fillId="0" borderId="0" xfId="54" applyFont="1" applyFill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1" fontId="13" fillId="0" borderId="0" xfId="54" applyFont="1" applyAlignment="1">
      <alignment/>
    </xf>
    <xf numFmtId="0" fontId="13" fillId="0" borderId="0" xfId="0" applyFont="1" applyAlignment="1">
      <alignment/>
    </xf>
    <xf numFmtId="39" fontId="40" fillId="0" borderId="19" xfId="0" applyNumberFormat="1" applyFont="1" applyFill="1" applyBorder="1" applyAlignment="1" applyProtection="1">
      <alignment shrinkToFit="1"/>
      <protection locked="0"/>
    </xf>
    <xf numFmtId="39" fontId="40" fillId="0" borderId="20" xfId="0" applyNumberFormat="1" applyFont="1" applyFill="1" applyBorder="1" applyAlignment="1" applyProtection="1">
      <alignment shrinkToFit="1"/>
      <protection locked="0"/>
    </xf>
    <xf numFmtId="39" fontId="40" fillId="0" borderId="85" xfId="0" applyNumberFormat="1" applyFont="1" applyFill="1" applyBorder="1" applyAlignment="1" applyProtection="1">
      <alignment shrinkToFit="1"/>
      <protection locked="0"/>
    </xf>
    <xf numFmtId="171" fontId="21" fillId="0" borderId="59" xfId="0" applyNumberFormat="1" applyFont="1" applyFill="1" applyBorder="1" applyAlignment="1">
      <alignment horizontal="left" wrapText="1"/>
    </xf>
    <xf numFmtId="171" fontId="26" fillId="0" borderId="59" xfId="0" applyNumberFormat="1" applyFont="1" applyFill="1" applyBorder="1" applyAlignment="1">
      <alignment horizontal="left" vertical="center" wrapText="1" indent="1"/>
    </xf>
    <xf numFmtId="171" fontId="26" fillId="0" borderId="60" xfId="0" applyNumberFormat="1" applyFont="1" applyFill="1" applyBorder="1" applyAlignment="1">
      <alignment horizontal="left" wrapText="1" indent="1"/>
    </xf>
    <xf numFmtId="0" fontId="1" fillId="0" borderId="86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71" fontId="46" fillId="0" borderId="0" xfId="54" applyFont="1" applyAlignment="1">
      <alignment horizontal="center" vertical="center"/>
    </xf>
    <xf numFmtId="4" fontId="20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171" fontId="21" fillId="0" borderId="59" xfId="54" applyNumberFormat="1" applyFont="1" applyFill="1" applyBorder="1" applyAlignment="1">
      <alignment/>
    </xf>
    <xf numFmtId="39" fontId="30" fillId="0" borderId="87" xfId="0" applyNumberFormat="1" applyFont="1" applyFill="1" applyBorder="1" applyAlignment="1" applyProtection="1">
      <alignment shrinkToFit="1"/>
      <protection locked="0"/>
    </xf>
    <xf numFmtId="39" fontId="30" fillId="0" borderId="88" xfId="0" applyNumberFormat="1" applyFont="1" applyFill="1" applyBorder="1" applyAlignment="1" applyProtection="1">
      <alignment horizontal="right" shrinkToFit="1"/>
      <protection locked="0"/>
    </xf>
    <xf numFmtId="39" fontId="40" fillId="0" borderId="30" xfId="0" applyNumberFormat="1" applyFont="1" applyFill="1" applyBorder="1" applyAlignment="1" applyProtection="1">
      <alignment shrinkToFit="1"/>
      <protection locked="0"/>
    </xf>
    <xf numFmtId="39" fontId="40" fillId="0" borderId="21" xfId="0" applyNumberFormat="1" applyFont="1" applyFill="1" applyBorder="1" applyAlignment="1" applyProtection="1">
      <alignment shrinkToFit="1"/>
      <protection locked="0"/>
    </xf>
    <xf numFmtId="39" fontId="40" fillId="0" borderId="23" xfId="0" applyNumberFormat="1" applyFont="1" applyFill="1" applyBorder="1" applyAlignment="1" applyProtection="1">
      <alignment shrinkToFit="1"/>
      <protection locked="0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3" fillId="0" borderId="3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0" fillId="0" borderId="15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171" fontId="2" fillId="0" borderId="13" xfId="54" applyFont="1" applyFill="1" applyBorder="1" applyAlignment="1">
      <alignment vertical="center"/>
    </xf>
    <xf numFmtId="171" fontId="30" fillId="0" borderId="57" xfId="54" applyFont="1" applyFill="1" applyBorder="1" applyAlignment="1" applyProtection="1">
      <alignment shrinkToFit="1"/>
      <protection locked="0"/>
    </xf>
    <xf numFmtId="171" fontId="30" fillId="0" borderId="65" xfId="54" applyFont="1" applyFill="1" applyBorder="1" applyAlignment="1" applyProtection="1">
      <alignment shrinkToFit="1"/>
      <protection locked="0"/>
    </xf>
    <xf numFmtId="171" fontId="0" fillId="0" borderId="0" xfId="0" applyNumberFormat="1" applyFill="1" applyAlignment="1">
      <alignment horizontal="left" indent="1"/>
    </xf>
    <xf numFmtId="171" fontId="46" fillId="0" borderId="0" xfId="0" applyNumberFormat="1" applyFont="1" applyFill="1" applyAlignment="1">
      <alignment horizontal="center" vertical="center"/>
    </xf>
    <xf numFmtId="171" fontId="0" fillId="0" borderId="0" xfId="0" applyNumberFormat="1" applyAlignment="1">
      <alignment/>
    </xf>
    <xf numFmtId="184" fontId="2" fillId="0" borderId="22" xfId="0" applyNumberFormat="1" applyFont="1" applyFill="1" applyBorder="1" applyAlignment="1">
      <alignment vertical="center"/>
    </xf>
    <xf numFmtId="0" fontId="1" fillId="23" borderId="42" xfId="0" applyFont="1" applyFill="1" applyBorder="1" applyAlignment="1">
      <alignment horizontal="center" vertical="center"/>
    </xf>
    <xf numFmtId="0" fontId="1" fillId="23" borderId="89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3" xfId="0" applyBorder="1" applyAlignment="1">
      <alignment horizontal="center"/>
    </xf>
    <xf numFmtId="0" fontId="1" fillId="23" borderId="36" xfId="0" applyFont="1" applyFill="1" applyBorder="1" applyAlignment="1">
      <alignment horizontal="center" vertical="center"/>
    </xf>
    <xf numFmtId="0" fontId="1" fillId="23" borderId="90" xfId="0" applyFont="1" applyFill="1" applyBorder="1" applyAlignment="1">
      <alignment horizontal="center" vertical="center"/>
    </xf>
    <xf numFmtId="0" fontId="1" fillId="23" borderId="8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4" borderId="51" xfId="0" applyFont="1" applyFill="1" applyBorder="1" applyAlignment="1">
      <alignment horizontal="center" vertical="center" wrapText="1"/>
    </xf>
    <xf numFmtId="0" fontId="1" fillId="24" borderId="94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" fontId="1" fillId="23" borderId="13" xfId="0" applyNumberFormat="1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3" borderId="9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50" applyFont="1" applyFill="1" applyBorder="1" applyAlignment="1">
      <alignment horizontal="justify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45" fillId="0" borderId="0" xfId="0" applyFont="1" applyBorder="1" applyAlignment="1">
      <alignment horizontal="left" vertical="center"/>
    </xf>
    <xf numFmtId="0" fontId="19" fillId="0" borderId="96" xfId="0" applyFont="1" applyFill="1" applyBorder="1" applyAlignment="1">
      <alignment horizontal="left" shrinkToFit="1"/>
    </xf>
    <xf numFmtId="0" fontId="19" fillId="0" borderId="97" xfId="0" applyFont="1" applyFill="1" applyBorder="1" applyAlignment="1">
      <alignment horizontal="left" shrinkToFit="1"/>
    </xf>
    <xf numFmtId="0" fontId="19" fillId="0" borderId="98" xfId="0" applyFont="1" applyFill="1" applyBorder="1" applyAlignment="1">
      <alignment horizontal="left" shrinkToFit="1"/>
    </xf>
    <xf numFmtId="39" fontId="19" fillId="0" borderId="83" xfId="0" applyNumberFormat="1" applyFont="1" applyFill="1" applyBorder="1" applyAlignment="1" applyProtection="1">
      <alignment horizontal="center" shrinkToFit="1"/>
      <protection locked="0"/>
    </xf>
    <xf numFmtId="39" fontId="19" fillId="0" borderId="99" xfId="0" applyNumberFormat="1" applyFont="1" applyFill="1" applyBorder="1" applyAlignment="1" applyProtection="1">
      <alignment horizontal="center" shrinkToFit="1"/>
      <protection locked="0"/>
    </xf>
    <xf numFmtId="0" fontId="43" fillId="0" borderId="99" xfId="0" applyFont="1" applyFill="1" applyBorder="1" applyAlignment="1">
      <alignment horizontal="center" shrinkToFit="1"/>
    </xf>
    <xf numFmtId="0" fontId="43" fillId="0" borderId="100" xfId="0" applyFont="1" applyFill="1" applyBorder="1" applyAlignment="1">
      <alignment horizontal="center" shrinkToFit="1"/>
    </xf>
    <xf numFmtId="0" fontId="19" fillId="0" borderId="101" xfId="0" applyFont="1" applyFill="1" applyBorder="1" applyAlignment="1" applyProtection="1">
      <alignment horizontal="left" shrinkToFit="1"/>
      <protection locked="0"/>
    </xf>
    <xf numFmtId="0" fontId="19" fillId="0" borderId="102" xfId="0" applyFont="1" applyFill="1" applyBorder="1" applyAlignment="1" applyProtection="1">
      <alignment horizontal="left" shrinkToFit="1"/>
      <protection locked="0"/>
    </xf>
    <xf numFmtId="0" fontId="19" fillId="0" borderId="103" xfId="0" applyFont="1" applyFill="1" applyBorder="1" applyAlignment="1" applyProtection="1">
      <alignment horizontal="left" shrinkToFit="1"/>
      <protection locked="0"/>
    </xf>
    <xf numFmtId="39" fontId="19" fillId="0" borderId="101" xfId="0" applyNumberFormat="1" applyFont="1" applyFill="1" applyBorder="1" applyAlignment="1" applyProtection="1">
      <alignment horizontal="left" shrinkToFit="1"/>
      <protection locked="0"/>
    </xf>
    <xf numFmtId="39" fontId="19" fillId="0" borderId="102" xfId="0" applyNumberFormat="1" applyFont="1" applyFill="1" applyBorder="1" applyAlignment="1" applyProtection="1">
      <alignment horizontal="left" shrinkToFit="1"/>
      <protection locked="0"/>
    </xf>
    <xf numFmtId="39" fontId="19" fillId="0" borderId="103" xfId="0" applyNumberFormat="1" applyFont="1" applyFill="1" applyBorder="1" applyAlignment="1" applyProtection="1">
      <alignment horizontal="left" shrinkToFit="1"/>
      <protection locked="0"/>
    </xf>
    <xf numFmtId="0" fontId="19" fillId="0" borderId="104" xfId="0" applyFont="1" applyFill="1" applyBorder="1" applyAlignment="1">
      <alignment horizontal="left" vertical="center"/>
    </xf>
    <xf numFmtId="0" fontId="24" fillId="0" borderId="105" xfId="0" applyFont="1" applyFill="1" applyBorder="1" applyAlignment="1">
      <alignment horizontal="left" vertical="center"/>
    </xf>
    <xf numFmtId="0" fontId="24" fillId="0" borderId="106" xfId="0" applyFont="1" applyFill="1" applyBorder="1" applyAlignment="1">
      <alignment horizontal="left" vertical="center"/>
    </xf>
    <xf numFmtId="0" fontId="34" fillId="0" borderId="107" xfId="0" applyFont="1" applyFill="1" applyBorder="1" applyAlignment="1" applyProtection="1">
      <alignment horizontal="center" shrinkToFit="1"/>
      <protection locked="0"/>
    </xf>
    <xf numFmtId="0" fontId="34" fillId="0" borderId="108" xfId="0" applyFont="1" applyFill="1" applyBorder="1" applyAlignment="1" applyProtection="1">
      <alignment horizontal="center" shrinkToFit="1"/>
      <protection locked="0"/>
    </xf>
    <xf numFmtId="0" fontId="34" fillId="0" borderId="109" xfId="0" applyFont="1" applyFill="1" applyBorder="1" applyAlignment="1" applyProtection="1">
      <alignment horizontal="center" shrinkToFit="1"/>
      <protection locked="0"/>
    </xf>
    <xf numFmtId="0" fontId="34" fillId="0" borderId="66" xfId="0" applyFont="1" applyFill="1" applyBorder="1" applyAlignment="1" applyProtection="1">
      <alignment horizontal="center" shrinkToFit="1"/>
      <protection locked="0"/>
    </xf>
    <xf numFmtId="0" fontId="34" fillId="0" borderId="0" xfId="0" applyFont="1" applyFill="1" applyBorder="1" applyAlignment="1" applyProtection="1">
      <alignment horizontal="center" shrinkToFit="1"/>
      <protection locked="0"/>
    </xf>
    <xf numFmtId="0" fontId="34" fillId="0" borderId="67" xfId="0" applyFont="1" applyFill="1" applyBorder="1" applyAlignment="1" applyProtection="1">
      <alignment horizontal="center" shrinkToFit="1"/>
      <protection locked="0"/>
    </xf>
    <xf numFmtId="0" fontId="34" fillId="0" borderId="110" xfId="0" applyFont="1" applyFill="1" applyBorder="1" applyAlignment="1" applyProtection="1">
      <alignment horizontal="center" shrinkToFit="1"/>
      <protection locked="0"/>
    </xf>
    <xf numFmtId="0" fontId="34" fillId="0" borderId="111" xfId="0" applyFont="1" applyFill="1" applyBorder="1" applyAlignment="1" applyProtection="1">
      <alignment horizontal="center" shrinkToFit="1"/>
      <protection locked="0"/>
    </xf>
    <xf numFmtId="0" fontId="34" fillId="0" borderId="112" xfId="0" applyFont="1" applyFill="1" applyBorder="1" applyAlignment="1" applyProtection="1">
      <alignment horizontal="center" shrinkToFit="1"/>
      <protection locked="0"/>
    </xf>
    <xf numFmtId="0" fontId="19" fillId="0" borderId="107" xfId="0" applyFont="1" applyFill="1" applyBorder="1" applyAlignment="1">
      <alignment horizontal="left" vertical="center"/>
    </xf>
    <xf numFmtId="0" fontId="24" fillId="0" borderId="108" xfId="0" applyFont="1" applyFill="1" applyBorder="1" applyAlignment="1">
      <alignment horizontal="left" vertical="center"/>
    </xf>
    <xf numFmtId="0" fontId="24" fillId="0" borderId="109" xfId="0" applyFont="1" applyFill="1" applyBorder="1" applyAlignment="1">
      <alignment horizontal="left" vertical="center"/>
    </xf>
    <xf numFmtId="0" fontId="19" fillId="0" borderId="83" xfId="0" applyFont="1" applyFill="1" applyBorder="1" applyAlignment="1">
      <alignment horizontal="left" vertical="center"/>
    </xf>
    <xf numFmtId="0" fontId="24" fillId="0" borderId="99" xfId="0" applyFont="1" applyFill="1" applyBorder="1" applyAlignment="1">
      <alignment horizontal="left" vertical="center"/>
    </xf>
    <xf numFmtId="0" fontId="24" fillId="0" borderId="100" xfId="0" applyFont="1" applyFill="1" applyBorder="1" applyAlignment="1">
      <alignment horizontal="left" vertical="center"/>
    </xf>
    <xf numFmtId="0" fontId="27" fillId="0" borderId="72" xfId="0" applyFont="1" applyFill="1" applyBorder="1" applyAlignment="1">
      <alignment horizontal="center" vertical="center" wrapText="1"/>
    </xf>
    <xf numFmtId="0" fontId="27" fillId="0" borderId="113" xfId="0" applyFont="1" applyFill="1" applyBorder="1" applyAlignment="1">
      <alignment horizontal="center" vertical="center" wrapText="1"/>
    </xf>
    <xf numFmtId="0" fontId="27" fillId="0" borderId="114" xfId="0" applyFont="1" applyFill="1" applyBorder="1" applyAlignment="1">
      <alignment horizontal="center" vertical="center" wrapText="1"/>
    </xf>
    <xf numFmtId="39" fontId="34" fillId="0" borderId="83" xfId="0" applyNumberFormat="1" applyFont="1" applyFill="1" applyBorder="1" applyAlignment="1" applyProtection="1">
      <alignment horizontal="left" vertical="center" wrapText="1"/>
      <protection locked="0"/>
    </xf>
    <xf numFmtId="39" fontId="34" fillId="0" borderId="99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99" xfId="0" applyFont="1" applyFill="1" applyBorder="1" applyAlignment="1">
      <alignment horizontal="center" vertical="center" wrapText="1"/>
    </xf>
    <xf numFmtId="0" fontId="43" fillId="0" borderId="100" xfId="0" applyFont="1" applyFill="1" applyBorder="1" applyAlignment="1">
      <alignment horizontal="center" vertical="center" wrapText="1"/>
    </xf>
    <xf numFmtId="0" fontId="43" fillId="0" borderId="115" xfId="0" applyFont="1" applyFill="1" applyBorder="1" applyAlignment="1">
      <alignment horizontal="center" shrinkToFit="1"/>
    </xf>
    <xf numFmtId="0" fontId="43" fillId="0" borderId="116" xfId="0" applyFont="1" applyFill="1" applyBorder="1" applyAlignment="1">
      <alignment horizontal="center" shrinkToFit="1"/>
    </xf>
    <xf numFmtId="39" fontId="19" fillId="0" borderId="117" xfId="0" applyNumberFormat="1" applyFont="1" applyFill="1" applyBorder="1" applyAlignment="1" applyProtection="1">
      <alignment horizontal="left" shrinkToFit="1"/>
      <protection locked="0"/>
    </xf>
    <xf numFmtId="0" fontId="44" fillId="0" borderId="97" xfId="0" applyFont="1" applyBorder="1" applyAlignment="1">
      <alignment horizontal="left" shrinkToFit="1"/>
    </xf>
    <xf numFmtId="0" fontId="44" fillId="0" borderId="118" xfId="0" applyFont="1" applyBorder="1" applyAlignment="1">
      <alignment horizontal="left" shrinkToFit="1"/>
    </xf>
    <xf numFmtId="0" fontId="34" fillId="0" borderId="83" xfId="0" applyFont="1" applyFill="1" applyBorder="1" applyAlignment="1" applyProtection="1">
      <alignment horizontal="right" shrinkToFit="1"/>
      <protection locked="0"/>
    </xf>
    <xf numFmtId="0" fontId="34" fillId="0" borderId="99" xfId="0" applyFont="1" applyFill="1" applyBorder="1" applyAlignment="1" applyProtection="1">
      <alignment horizontal="right" shrinkToFit="1"/>
      <protection locked="0"/>
    </xf>
    <xf numFmtId="0" fontId="24" fillId="0" borderId="119" xfId="0" applyFont="1" applyFill="1" applyBorder="1" applyAlignment="1" applyProtection="1">
      <alignment vertical="center" wrapText="1"/>
      <protection locked="0"/>
    </xf>
    <xf numFmtId="0" fontId="24" fillId="0" borderId="120" xfId="0" applyFont="1" applyFill="1" applyBorder="1" applyAlignment="1" applyProtection="1">
      <alignment vertical="center" wrapText="1"/>
      <protection locked="0"/>
    </xf>
    <xf numFmtId="0" fontId="20" fillId="0" borderId="120" xfId="0" applyFont="1" applyFill="1" applyBorder="1" applyAlignment="1" applyProtection="1">
      <alignment vertical="center" wrapText="1"/>
      <protection locked="0"/>
    </xf>
    <xf numFmtId="0" fontId="41" fillId="0" borderId="55" xfId="0" applyFont="1" applyFill="1" applyBorder="1" applyAlignment="1" applyProtection="1">
      <alignment horizontal="center" shrinkToFit="1"/>
      <protection locked="0"/>
    </xf>
    <xf numFmtId="0" fontId="42" fillId="0" borderId="115" xfId="0" applyFont="1" applyBorder="1" applyAlignment="1">
      <alignment horizontal="center" shrinkToFit="1"/>
    </xf>
    <xf numFmtId="0" fontId="42" fillId="0" borderId="116" xfId="0" applyFont="1" applyBorder="1" applyAlignment="1">
      <alignment horizontal="center" shrinkToFit="1"/>
    </xf>
    <xf numFmtId="39" fontId="41" fillId="0" borderId="55" xfId="0" applyNumberFormat="1" applyFont="1" applyFill="1" applyBorder="1" applyAlignment="1" applyProtection="1">
      <alignment horizontal="center" shrinkToFit="1"/>
      <protection locked="0"/>
    </xf>
    <xf numFmtId="0" fontId="24" fillId="0" borderId="121" xfId="0" applyFont="1" applyFill="1" applyBorder="1" applyAlignment="1" applyProtection="1">
      <alignment horizontal="center" vertical="center" wrapText="1"/>
      <protection locked="0"/>
    </xf>
    <xf numFmtId="0" fontId="24" fillId="0" borderId="122" xfId="0" applyFont="1" applyFill="1" applyBorder="1" applyAlignment="1" applyProtection="1">
      <alignment horizontal="center" vertical="center" wrapText="1"/>
      <protection locked="0"/>
    </xf>
    <xf numFmtId="171" fontId="30" fillId="0" borderId="123" xfId="54" applyFont="1" applyFill="1" applyBorder="1" applyAlignment="1" applyProtection="1">
      <alignment vertical="center" shrinkToFit="1"/>
      <protection locked="0"/>
    </xf>
    <xf numFmtId="171" fontId="38" fillId="0" borderId="124" xfId="54" applyFont="1" applyFill="1" applyBorder="1" applyAlignment="1" applyProtection="1">
      <alignment vertical="center" shrinkToFit="1"/>
      <protection locked="0"/>
    </xf>
    <xf numFmtId="171" fontId="30" fillId="0" borderId="125" xfId="0" applyNumberFormat="1" applyFont="1" applyFill="1" applyBorder="1" applyAlignment="1" applyProtection="1">
      <alignment shrinkToFit="1"/>
      <protection locked="0"/>
    </xf>
    <xf numFmtId="0" fontId="38" fillId="0" borderId="126" xfId="0" applyFont="1" applyFill="1" applyBorder="1" applyAlignment="1" applyProtection="1">
      <alignment shrinkToFit="1"/>
      <protection locked="0"/>
    </xf>
    <xf numFmtId="171" fontId="30" fillId="0" borderId="127" xfId="0" applyNumberFormat="1" applyFont="1" applyFill="1" applyBorder="1" applyAlignment="1" applyProtection="1">
      <alignment shrinkToFit="1"/>
      <protection locked="0"/>
    </xf>
    <xf numFmtId="0" fontId="38" fillId="0" borderId="128" xfId="0" applyFont="1" applyFill="1" applyBorder="1" applyAlignment="1" applyProtection="1">
      <alignment shrinkToFit="1"/>
      <protection locked="0"/>
    </xf>
    <xf numFmtId="0" fontId="30" fillId="0" borderId="125" xfId="0" applyFont="1" applyFill="1" applyBorder="1" applyAlignment="1" applyProtection="1">
      <alignment shrinkToFit="1"/>
      <protection locked="0"/>
    </xf>
    <xf numFmtId="0" fontId="37" fillId="0" borderId="129" xfId="0" applyNumberFormat="1" applyFont="1" applyFill="1" applyBorder="1" applyAlignment="1" applyProtection="1">
      <alignment horizontal="center" shrinkToFit="1"/>
      <protection locked="0"/>
    </xf>
    <xf numFmtId="0" fontId="37" fillId="0" borderId="129" xfId="0" applyFont="1" applyFill="1" applyBorder="1" applyAlignment="1" applyProtection="1">
      <alignment horizontal="center" shrinkToFit="1"/>
      <protection locked="0"/>
    </xf>
    <xf numFmtId="171" fontId="37" fillId="0" borderId="129" xfId="0" applyNumberFormat="1" applyFont="1" applyFill="1" applyBorder="1" applyAlignment="1" applyProtection="1">
      <alignment horizontal="left" wrapText="1" indent="1" shrinkToFit="1"/>
      <protection locked="0"/>
    </xf>
    <xf numFmtId="0" fontId="37" fillId="0" borderId="129" xfId="0" applyFont="1" applyFill="1" applyBorder="1" applyAlignment="1" applyProtection="1">
      <alignment horizontal="left" wrapText="1" indent="1" shrinkToFit="1"/>
      <protection locked="0"/>
    </xf>
    <xf numFmtId="39" fontId="30" fillId="0" borderId="129" xfId="0" applyNumberFormat="1" applyFont="1" applyFill="1" applyBorder="1" applyAlignment="1" applyProtection="1">
      <alignment vertical="top" shrinkToFit="1"/>
      <protection locked="0"/>
    </xf>
    <xf numFmtId="39" fontId="38" fillId="0" borderId="130" xfId="0" applyNumberFormat="1" applyFont="1" applyFill="1" applyBorder="1" applyAlignment="1" applyProtection="1">
      <alignment vertical="top" shrinkToFit="1"/>
      <protection locked="0"/>
    </xf>
    <xf numFmtId="39" fontId="37" fillId="0" borderId="131" xfId="0" applyNumberFormat="1" applyFont="1" applyFill="1" applyBorder="1" applyAlignment="1" applyProtection="1">
      <alignment/>
      <protection locked="0"/>
    </xf>
    <xf numFmtId="0" fontId="37" fillId="0" borderId="77" xfId="0" applyFont="1" applyBorder="1" applyAlignment="1">
      <alignment/>
    </xf>
    <xf numFmtId="39" fontId="38" fillId="0" borderId="129" xfId="0" applyNumberFormat="1" applyFont="1" applyFill="1" applyBorder="1" applyAlignment="1" applyProtection="1">
      <alignment vertical="top" shrinkToFit="1"/>
      <protection locked="0"/>
    </xf>
    <xf numFmtId="0" fontId="37" fillId="0" borderId="132" xfId="0" applyFont="1" applyBorder="1" applyAlignment="1">
      <alignment/>
    </xf>
    <xf numFmtId="39" fontId="30" fillId="0" borderId="133" xfId="0" applyNumberFormat="1" applyFont="1" applyFill="1" applyBorder="1" applyAlignment="1" applyProtection="1">
      <alignment horizontal="center" vertical="top" shrinkToFit="1"/>
      <protection locked="0"/>
    </xf>
    <xf numFmtId="39" fontId="30" fillId="0" borderId="134" xfId="0" applyNumberFormat="1" applyFont="1" applyFill="1" applyBorder="1" applyAlignment="1" applyProtection="1">
      <alignment horizontal="center" vertical="top" shrinkToFit="1"/>
      <protection locked="0"/>
    </xf>
    <xf numFmtId="171" fontId="30" fillId="0" borderId="134" xfId="0" applyNumberFormat="1" applyFont="1" applyFill="1" applyBorder="1" applyAlignment="1" applyProtection="1">
      <alignment shrinkToFit="1"/>
      <protection locked="0"/>
    </xf>
    <xf numFmtId="0" fontId="38" fillId="0" borderId="129" xfId="0" applyFont="1" applyFill="1" applyBorder="1" applyAlignment="1" applyProtection="1">
      <alignment shrinkToFit="1"/>
      <protection locked="0"/>
    </xf>
    <xf numFmtId="0" fontId="37" fillId="0" borderId="133" xfId="0" applyFont="1" applyFill="1" applyBorder="1" applyAlignment="1" applyProtection="1">
      <alignment horizontal="center" shrinkToFit="1"/>
      <protection locked="0"/>
    </xf>
    <xf numFmtId="0" fontId="37" fillId="0" borderId="134" xfId="0" applyFont="1" applyFill="1" applyBorder="1" applyAlignment="1" applyProtection="1">
      <alignment horizontal="center" shrinkToFit="1"/>
      <protection locked="0"/>
    </xf>
    <xf numFmtId="39" fontId="38" fillId="0" borderId="133" xfId="0" applyNumberFormat="1" applyFont="1" applyFill="1" applyBorder="1" applyAlignment="1" applyProtection="1">
      <alignment horizontal="center" vertical="top" shrinkToFit="1"/>
      <protection locked="0"/>
    </xf>
    <xf numFmtId="39" fontId="38" fillId="0" borderId="134" xfId="0" applyNumberFormat="1" applyFont="1" applyFill="1" applyBorder="1" applyAlignment="1" applyProtection="1">
      <alignment horizontal="center" vertical="top" shrinkToFit="1"/>
      <protection locked="0"/>
    </xf>
    <xf numFmtId="39" fontId="30" fillId="0" borderId="123" xfId="0" applyNumberFormat="1" applyFont="1" applyFill="1" applyBorder="1" applyAlignment="1" applyProtection="1">
      <alignment vertical="center" shrinkToFit="1"/>
      <protection locked="0"/>
    </xf>
    <xf numFmtId="39" fontId="38" fillId="0" borderId="124" xfId="0" applyNumberFormat="1" applyFont="1" applyFill="1" applyBorder="1" applyAlignment="1" applyProtection="1">
      <alignment vertical="center" shrinkToFit="1"/>
      <protection locked="0"/>
    </xf>
    <xf numFmtId="0" fontId="37" fillId="0" borderId="134" xfId="0" applyNumberFormat="1" applyFont="1" applyFill="1" applyBorder="1" applyAlignment="1" applyProtection="1">
      <alignment horizontal="center" shrinkToFit="1"/>
      <protection locked="0"/>
    </xf>
    <xf numFmtId="39" fontId="30" fillId="0" borderId="134" xfId="0" applyNumberFormat="1" applyFont="1" applyFill="1" applyBorder="1" applyAlignment="1" applyProtection="1">
      <alignment vertical="center" shrinkToFit="1"/>
      <protection locked="0"/>
    </xf>
    <xf numFmtId="39" fontId="30" fillId="0" borderId="129" xfId="0" applyNumberFormat="1" applyFont="1" applyFill="1" applyBorder="1" applyAlignment="1" applyProtection="1">
      <alignment vertical="center" shrinkToFit="1"/>
      <protection locked="0"/>
    </xf>
    <xf numFmtId="39" fontId="37" fillId="0" borderId="77" xfId="0" applyNumberFormat="1" applyFont="1" applyFill="1" applyBorder="1" applyAlignment="1" applyProtection="1">
      <alignment shrinkToFit="1"/>
      <protection locked="0"/>
    </xf>
    <xf numFmtId="0" fontId="37" fillId="0" borderId="132" xfId="0" applyFont="1" applyBorder="1" applyAlignment="1">
      <alignment shrinkToFit="1"/>
    </xf>
    <xf numFmtId="0" fontId="30" fillId="0" borderId="70" xfId="0" applyFont="1" applyFill="1" applyBorder="1" applyAlignment="1" applyProtection="1">
      <alignment horizontal="center" vertical="center" shrinkToFit="1"/>
      <protection locked="0"/>
    </xf>
    <xf numFmtId="0" fontId="38" fillId="0" borderId="71" xfId="0" applyFont="1" applyBorder="1" applyAlignment="1">
      <alignment horizontal="center" vertical="center" shrinkToFit="1"/>
    </xf>
    <xf numFmtId="1" fontId="30" fillId="0" borderId="70" xfId="0" applyNumberFormat="1" applyFont="1" applyFill="1" applyBorder="1" applyAlignment="1" applyProtection="1">
      <alignment horizontal="center" vertical="center"/>
      <protection locked="0"/>
    </xf>
    <xf numFmtId="0" fontId="38" fillId="0" borderId="71" xfId="0" applyFont="1" applyBorder="1" applyAlignment="1">
      <alignment horizontal="center" vertical="center"/>
    </xf>
    <xf numFmtId="0" fontId="19" fillId="0" borderId="79" xfId="0" applyFont="1" applyFill="1" applyBorder="1" applyAlignment="1">
      <alignment horizontal="center" shrinkToFit="1"/>
    </xf>
    <xf numFmtId="0" fontId="19" fillId="0" borderId="65" xfId="0" applyFont="1" applyFill="1" applyBorder="1" applyAlignment="1">
      <alignment horizontal="center" shrinkToFit="1"/>
    </xf>
    <xf numFmtId="0" fontId="30" fillId="0" borderId="135" xfId="0" applyFont="1" applyFill="1" applyBorder="1" applyAlignment="1">
      <alignment horizontal="center" wrapText="1" shrinkToFit="1"/>
    </xf>
    <xf numFmtId="0" fontId="31" fillId="0" borderId="136" xfId="0" applyFont="1" applyBorder="1" applyAlignment="1">
      <alignment horizontal="center" shrinkToFit="1"/>
    </xf>
    <xf numFmtId="0" fontId="31" fillId="0" borderId="137" xfId="0" applyFont="1" applyBorder="1" applyAlignment="1">
      <alignment horizontal="center" shrinkToFit="1"/>
    </xf>
    <xf numFmtId="0" fontId="24" fillId="0" borderId="138" xfId="0" applyFont="1" applyBorder="1" applyAlignment="1">
      <alignment horizontal="right" shrinkToFit="1"/>
    </xf>
    <xf numFmtId="0" fontId="24" fillId="0" borderId="139" xfId="0" applyFont="1" applyBorder="1" applyAlignment="1">
      <alignment horizontal="right" shrinkToFit="1"/>
    </xf>
    <xf numFmtId="0" fontId="24" fillId="0" borderId="140" xfId="0" applyFont="1" applyBorder="1" applyAlignment="1">
      <alignment horizontal="right" shrinkToFit="1"/>
    </xf>
    <xf numFmtId="0" fontId="0" fillId="0" borderId="141" xfId="0" applyBorder="1" applyAlignment="1">
      <alignment horizontal="left" shrinkToFit="1"/>
    </xf>
    <xf numFmtId="0" fontId="0" fillId="0" borderId="142" xfId="0" applyBorder="1" applyAlignment="1">
      <alignment horizontal="left" shrinkToFit="1"/>
    </xf>
    <xf numFmtId="0" fontId="21" fillId="0" borderId="66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shrinkToFit="1"/>
    </xf>
    <xf numFmtId="0" fontId="19" fillId="0" borderId="99" xfId="0" applyFont="1" applyFill="1" applyBorder="1" applyAlignment="1">
      <alignment horizontal="center" vertical="center" shrinkToFit="1"/>
    </xf>
    <xf numFmtId="0" fontId="32" fillId="0" borderId="99" xfId="0" applyFont="1" applyFill="1" applyBorder="1" applyAlignment="1">
      <alignment horizontal="center" wrapText="1" shrinkToFit="1"/>
    </xf>
    <xf numFmtId="0" fontId="20" fillId="0" borderId="99" xfId="0" applyFont="1" applyFill="1" applyBorder="1" applyAlignment="1">
      <alignment horizontal="center" wrapText="1" shrinkToFit="1"/>
    </xf>
    <xf numFmtId="0" fontId="20" fillId="0" borderId="96" xfId="0" applyFont="1" applyFill="1" applyBorder="1" applyAlignment="1">
      <alignment horizontal="center" wrapText="1" shrinkToFit="1"/>
    </xf>
    <xf numFmtId="0" fontId="21" fillId="0" borderId="68" xfId="0" applyFont="1" applyFill="1" applyBorder="1" applyAlignment="1">
      <alignment horizontal="center" vertical="center" shrinkToFit="1"/>
    </xf>
    <xf numFmtId="0" fontId="21" fillId="0" borderId="69" xfId="0" applyFont="1" applyFill="1" applyBorder="1" applyAlignment="1">
      <alignment horizontal="center" vertical="center" shrinkToFit="1"/>
    </xf>
    <xf numFmtId="0" fontId="19" fillId="0" borderId="104" xfId="0" applyFont="1" applyFill="1" applyBorder="1" applyAlignment="1">
      <alignment horizontal="center" vertical="center" shrinkToFit="1"/>
    </xf>
    <xf numFmtId="0" fontId="19" fillId="0" borderId="105" xfId="0" applyFont="1" applyFill="1" applyBorder="1" applyAlignment="1">
      <alignment horizontal="center" vertical="center" shrinkToFit="1"/>
    </xf>
    <xf numFmtId="0" fontId="32" fillId="0" borderId="105" xfId="0" applyFont="1" applyFill="1" applyBorder="1" applyAlignment="1">
      <alignment horizontal="center" wrapText="1" shrinkToFit="1"/>
    </xf>
    <xf numFmtId="0" fontId="20" fillId="0" borderId="105" xfId="0" applyFont="1" applyFill="1" applyBorder="1" applyAlignment="1">
      <alignment horizontal="center" wrapText="1" shrinkToFit="1"/>
    </xf>
    <xf numFmtId="0" fontId="20" fillId="0" borderId="143" xfId="0" applyFont="1" applyFill="1" applyBorder="1" applyAlignment="1">
      <alignment horizontal="center" wrapText="1" shrinkToFit="1"/>
    </xf>
    <xf numFmtId="191" fontId="30" fillId="0" borderId="70" xfId="0" applyNumberFormat="1" applyFont="1" applyFill="1" applyBorder="1" applyAlignment="1" applyProtection="1">
      <alignment vertical="center" shrinkToFit="1"/>
      <protection locked="0"/>
    </xf>
    <xf numFmtId="0" fontId="38" fillId="0" borderId="71" xfId="0" applyFont="1" applyBorder="1" applyAlignment="1">
      <alignment vertical="center" shrinkToFit="1"/>
    </xf>
    <xf numFmtId="0" fontId="34" fillId="0" borderId="72" xfId="0" applyFont="1" applyFill="1" applyBorder="1" applyAlignment="1" applyProtection="1">
      <alignment horizontal="center" vertical="center"/>
      <protection locked="0"/>
    </xf>
    <xf numFmtId="0" fontId="35" fillId="0" borderId="113" xfId="0" applyFont="1" applyFill="1" applyBorder="1" applyAlignment="1" applyProtection="1">
      <alignment horizontal="center" vertical="center"/>
      <protection locked="0"/>
    </xf>
    <xf numFmtId="0" fontId="36" fillId="0" borderId="113" xfId="0" applyFont="1" applyBorder="1" applyAlignment="1">
      <alignment horizontal="center" vertical="center"/>
    </xf>
    <xf numFmtId="0" fontId="35" fillId="0" borderId="114" xfId="0" applyFont="1" applyFill="1" applyBorder="1" applyAlignment="1" applyProtection="1">
      <alignment horizontal="center" vertical="center"/>
      <protection locked="0"/>
    </xf>
    <xf numFmtId="17" fontId="21" fillId="0" borderId="144" xfId="0" applyNumberFormat="1" applyFont="1" applyFill="1" applyBorder="1" applyAlignment="1">
      <alignment horizontal="center" vertical="center"/>
    </xf>
    <xf numFmtId="17" fontId="21" fillId="0" borderId="145" xfId="0" applyNumberFormat="1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 shrinkToFit="1"/>
    </xf>
    <xf numFmtId="0" fontId="24" fillId="0" borderId="69" xfId="0" applyFont="1" applyFill="1" applyBorder="1" applyAlignment="1">
      <alignment horizontal="center" vertical="center" shrinkToFit="1"/>
    </xf>
    <xf numFmtId="2" fontId="20" fillId="0" borderId="21" xfId="0" applyNumberFormat="1" applyFont="1" applyBorder="1" applyAlignment="1">
      <alignment horizontal="center"/>
    </xf>
    <xf numFmtId="171" fontId="21" fillId="0" borderId="72" xfId="0" applyNumberFormat="1" applyFont="1" applyFill="1" applyBorder="1" applyAlignment="1">
      <alignment horizontal="center"/>
    </xf>
    <xf numFmtId="171" fontId="21" fillId="0" borderId="113" xfId="0" applyNumberFormat="1" applyFont="1" applyFill="1" applyBorder="1" applyAlignment="1">
      <alignment horizontal="center"/>
    </xf>
    <xf numFmtId="171" fontId="21" fillId="0" borderId="114" xfId="0" applyNumberFormat="1" applyFont="1" applyFill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113" xfId="0" applyFont="1" applyBorder="1" applyAlignment="1">
      <alignment horizontal="center"/>
    </xf>
    <xf numFmtId="0" fontId="21" fillId="0" borderId="114" xfId="0" applyFont="1" applyBorder="1" applyAlignment="1">
      <alignment horizontal="center"/>
    </xf>
    <xf numFmtId="2" fontId="27" fillId="0" borderId="71" xfId="0" applyNumberFormat="1" applyFont="1" applyBorder="1" applyAlignment="1">
      <alignment horizontal="center"/>
    </xf>
    <xf numFmtId="171" fontId="27" fillId="0" borderId="72" xfId="54" applyFont="1" applyFill="1" applyBorder="1" applyAlignment="1">
      <alignment horizontal="left"/>
    </xf>
    <xf numFmtId="171" fontId="27" fillId="0" borderId="113" xfId="54" applyFont="1" applyFill="1" applyBorder="1" applyAlignment="1">
      <alignment horizontal="left"/>
    </xf>
    <xf numFmtId="171" fontId="27" fillId="0" borderId="114" xfId="54" applyFont="1" applyFill="1" applyBorder="1" applyAlignment="1">
      <alignment horizontal="left"/>
    </xf>
    <xf numFmtId="0" fontId="21" fillId="0" borderId="56" xfId="0" applyFont="1" applyBorder="1" applyAlignment="1">
      <alignment horizontal="center" vertical="center"/>
    </xf>
    <xf numFmtId="0" fontId="21" fillId="0" borderId="146" xfId="0" applyFont="1" applyFill="1" applyBorder="1" applyAlignment="1">
      <alignment horizontal="center" vertical="center"/>
    </xf>
    <xf numFmtId="0" fontId="21" fillId="0" borderId="147" xfId="0" applyFont="1" applyFill="1" applyBorder="1" applyAlignment="1">
      <alignment horizontal="center" vertical="center"/>
    </xf>
    <xf numFmtId="0" fontId="21" fillId="0" borderId="148" xfId="0" applyFont="1" applyFill="1" applyBorder="1" applyAlignment="1">
      <alignment horizontal="center" vertical="center"/>
    </xf>
    <xf numFmtId="0" fontId="21" fillId="0" borderId="144" xfId="0" applyFont="1" applyFill="1" applyBorder="1" applyAlignment="1">
      <alignment horizontal="center" vertical="center"/>
    </xf>
    <xf numFmtId="0" fontId="21" fillId="0" borderId="145" xfId="0" applyFont="1" applyFill="1" applyBorder="1" applyAlignment="1">
      <alignment horizontal="center" vertical="center"/>
    </xf>
    <xf numFmtId="0" fontId="20" fillId="0" borderId="143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/>
    </xf>
    <xf numFmtId="0" fontId="21" fillId="0" borderId="113" xfId="0" applyFont="1" applyFill="1" applyBorder="1" applyAlignment="1">
      <alignment horizontal="center" vertical="center"/>
    </xf>
    <xf numFmtId="0" fontId="21" fillId="0" borderId="114" xfId="0" applyFont="1" applyFill="1" applyBorder="1" applyAlignment="1">
      <alignment horizontal="center" vertical="center"/>
    </xf>
    <xf numFmtId="0" fontId="19" fillId="0" borderId="72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149" xfId="0" applyFont="1" applyFill="1" applyBorder="1" applyAlignment="1">
      <alignment horizontal="center" vertical="center" wrapText="1"/>
    </xf>
    <xf numFmtId="0" fontId="20" fillId="0" borderId="136" xfId="0" applyFont="1" applyFill="1" applyBorder="1" applyAlignment="1">
      <alignment horizontal="center" vertical="center" wrapText="1"/>
    </xf>
    <xf numFmtId="0" fontId="20" fillId="0" borderId="150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7</xdr:row>
      <xdr:rowOff>28575</xdr:rowOff>
    </xdr:from>
    <xdr:to>
      <xdr:col>14</xdr:col>
      <xdr:colOff>514350</xdr:colOff>
      <xdr:row>12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62050"/>
          <a:ext cx="1600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15</xdr:row>
      <xdr:rowOff>38100</xdr:rowOff>
    </xdr:from>
    <xdr:to>
      <xdr:col>14</xdr:col>
      <xdr:colOff>523875</xdr:colOff>
      <xdr:row>19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3276600"/>
          <a:ext cx="1600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571500</xdr:colOff>
      <xdr:row>0</xdr:row>
      <xdr:rowOff>38100</xdr:rowOff>
    </xdr:from>
    <xdr:to>
      <xdr:col>16</xdr:col>
      <xdr:colOff>381000</xdr:colOff>
      <xdr:row>2</xdr:row>
      <xdr:rowOff>352425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78100" y="38100"/>
          <a:ext cx="819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942975</xdr:colOff>
      <xdr:row>0</xdr:row>
      <xdr:rowOff>0</xdr:rowOff>
    </xdr:from>
    <xdr:to>
      <xdr:col>8</xdr:col>
      <xdr:colOff>180975</xdr:colOff>
      <xdr:row>2</xdr:row>
      <xdr:rowOff>400050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0"/>
          <a:ext cx="714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zoomScale="65" zoomScaleNormal="65" zoomScalePageLayoutView="0" workbookViewId="0" topLeftCell="C1">
      <selection activeCell="E26" sqref="E26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15.00390625" style="0" bestFit="1" customWidth="1"/>
    <col min="4" max="4" width="26.8515625" style="0" customWidth="1"/>
    <col min="5" max="5" width="71.57421875" style="35" customWidth="1"/>
    <col min="6" max="6" width="7.00390625" style="2" bestFit="1" customWidth="1"/>
    <col min="7" max="8" width="10.140625" style="2" bestFit="1" customWidth="1"/>
    <col min="9" max="9" width="10.421875" style="2" bestFit="1" customWidth="1"/>
    <col min="10" max="10" width="10.140625" style="2" bestFit="1" customWidth="1"/>
    <col min="11" max="12" width="10.421875" style="2" bestFit="1" customWidth="1"/>
    <col min="13" max="13" width="10.140625" style="2" bestFit="1" customWidth="1"/>
    <col min="14" max="15" width="10.421875" style="2" bestFit="1" customWidth="1"/>
    <col min="16" max="16" width="11.7109375" style="1" bestFit="1" customWidth="1"/>
    <col min="17" max="17" width="16.140625" style="74" customWidth="1"/>
    <col min="18" max="18" width="23.421875" style="1" bestFit="1" customWidth="1"/>
    <col min="19" max="19" width="5.57421875" style="0" customWidth="1"/>
    <col min="20" max="20" width="4.140625" style="0" customWidth="1"/>
    <col min="21" max="21" width="26.140625" style="0" customWidth="1"/>
    <col min="22" max="23" width="11.7109375" style="0" bestFit="1" customWidth="1"/>
    <col min="24" max="24" width="11.57421875" style="0" bestFit="1" customWidth="1"/>
    <col min="25" max="25" width="12.421875" style="0" bestFit="1" customWidth="1"/>
    <col min="28" max="28" width="11.28125" style="0" bestFit="1" customWidth="1"/>
  </cols>
  <sheetData>
    <row r="1" spans="2:18" ht="23.25" customHeight="1">
      <c r="B1" s="450" t="s">
        <v>255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2"/>
    </row>
    <row r="2" spans="1:38" ht="23.25" customHeight="1" thickBot="1">
      <c r="A2" s="4"/>
      <c r="B2" s="453" t="s">
        <v>256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5"/>
      <c r="S2" s="4"/>
      <c r="T2" s="4"/>
      <c r="U2" s="4" t="s">
        <v>155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23.25" customHeight="1">
      <c r="A3" s="4"/>
      <c r="B3" s="90"/>
      <c r="C3" s="91"/>
      <c r="D3" s="91"/>
      <c r="E3" s="91"/>
      <c r="F3" s="91"/>
      <c r="G3" s="435" t="s">
        <v>257</v>
      </c>
      <c r="H3" s="436"/>
      <c r="I3" s="437"/>
      <c r="J3" s="435" t="s">
        <v>258</v>
      </c>
      <c r="K3" s="436"/>
      <c r="L3" s="437"/>
      <c r="M3" s="435" t="s">
        <v>259</v>
      </c>
      <c r="N3" s="436"/>
      <c r="O3" s="458"/>
      <c r="P3" s="209" t="s">
        <v>263</v>
      </c>
      <c r="Q3" s="91"/>
      <c r="R3" s="92"/>
      <c r="S3" s="4"/>
      <c r="T3" s="4"/>
      <c r="U3" s="4"/>
      <c r="V3" t="s">
        <v>329</v>
      </c>
      <c r="W3" s="4" t="s">
        <v>330</v>
      </c>
      <c r="X3" s="4" t="s">
        <v>331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23.25" customHeight="1">
      <c r="A4" s="4"/>
      <c r="B4" s="90"/>
      <c r="C4" s="91"/>
      <c r="D4" s="91"/>
      <c r="E4" s="91"/>
      <c r="F4" s="91"/>
      <c r="G4" s="202" t="s">
        <v>260</v>
      </c>
      <c r="H4" s="201" t="s">
        <v>261</v>
      </c>
      <c r="I4" s="381" t="s">
        <v>262</v>
      </c>
      <c r="J4" s="202" t="s">
        <v>260</v>
      </c>
      <c r="K4" s="201" t="s">
        <v>261</v>
      </c>
      <c r="L4" s="203" t="s">
        <v>262</v>
      </c>
      <c r="M4" s="202" t="s">
        <v>260</v>
      </c>
      <c r="N4" s="201" t="s">
        <v>261</v>
      </c>
      <c r="O4" s="207" t="s">
        <v>262</v>
      </c>
      <c r="P4" s="210" t="s">
        <v>77</v>
      </c>
      <c r="Q4" s="91"/>
      <c r="R4" s="92"/>
      <c r="S4" s="4"/>
      <c r="T4" s="4"/>
      <c r="U4" s="4" t="s">
        <v>335</v>
      </c>
      <c r="V4" s="121">
        <f>SUM(G20:I20)</f>
        <v>24558</v>
      </c>
      <c r="W4" s="121">
        <f>SUM(J20:L20)</f>
        <v>43583</v>
      </c>
      <c r="X4" s="121">
        <f>SUM(M20:O20)</f>
        <v>28906</v>
      </c>
      <c r="Y4" s="121">
        <f>SUM(V4:X4)</f>
        <v>97047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23.25" customHeight="1" thickBot="1">
      <c r="A5" s="4"/>
      <c r="B5" s="90"/>
      <c r="C5" s="91"/>
      <c r="D5" s="91"/>
      <c r="E5" s="91" t="s">
        <v>264</v>
      </c>
      <c r="F5" s="91"/>
      <c r="G5" s="204">
        <v>0.28</v>
      </c>
      <c r="H5" s="205">
        <v>0.48</v>
      </c>
      <c r="I5" s="382">
        <v>0</v>
      </c>
      <c r="J5" s="204">
        <v>0.56</v>
      </c>
      <c r="K5" s="205">
        <v>1.36</v>
      </c>
      <c r="L5" s="206">
        <v>0</v>
      </c>
      <c r="M5" s="204">
        <v>0.48</v>
      </c>
      <c r="N5" s="205">
        <v>0.72</v>
      </c>
      <c r="O5" s="208">
        <v>0</v>
      </c>
      <c r="P5" s="211">
        <f>SUM(G5:O5)</f>
        <v>3.88</v>
      </c>
      <c r="Q5" s="217" t="s">
        <v>181</v>
      </c>
      <c r="R5" s="219"/>
      <c r="S5" s="4"/>
      <c r="T5" s="4"/>
      <c r="U5" s="333" t="s">
        <v>337</v>
      </c>
      <c r="V5" s="334">
        <f>V4/Y4*100</f>
        <v>25.3052644594887</v>
      </c>
      <c r="W5" s="334">
        <f>W4/Y4*100</f>
        <v>44.90916772285593</v>
      </c>
      <c r="X5" s="334">
        <f>X4/Y4*100</f>
        <v>29.785567817655362</v>
      </c>
      <c r="Y5" s="334">
        <f>SUM(V5:X5)</f>
        <v>100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2:25" s="3" customFormat="1" ht="44.25" customHeight="1" thickBot="1">
      <c r="B6" s="456" t="s">
        <v>45</v>
      </c>
      <c r="C6" s="457"/>
      <c r="D6" s="86" t="s">
        <v>36</v>
      </c>
      <c r="E6" s="87" t="s">
        <v>37</v>
      </c>
      <c r="F6" s="212" t="s">
        <v>11</v>
      </c>
      <c r="G6" s="196"/>
      <c r="H6" s="194"/>
      <c r="I6" s="383"/>
      <c r="J6" s="88"/>
      <c r="K6" s="89"/>
      <c r="L6" s="215"/>
      <c r="M6" s="88"/>
      <c r="N6" s="89"/>
      <c r="O6" s="215"/>
      <c r="P6" s="370" t="s">
        <v>12</v>
      </c>
      <c r="Q6" s="213" t="s">
        <v>13</v>
      </c>
      <c r="R6" s="214" t="s">
        <v>14</v>
      </c>
      <c r="U6" s="335" t="s">
        <v>157</v>
      </c>
      <c r="V6" s="336">
        <f>R20*0.292</f>
        <v>20209.054279999997</v>
      </c>
      <c r="W6" s="336">
        <f>R20*0.4053</f>
        <v>28050.444176999998</v>
      </c>
      <c r="X6" s="336">
        <f>R20*0.3027</f>
        <v>20949.591543000002</v>
      </c>
      <c r="Y6" s="336">
        <f>SUM(V6:X6)</f>
        <v>69209.09</v>
      </c>
    </row>
    <row r="7" spans="2:25" ht="24.75" customHeight="1" hidden="1">
      <c r="B7" s="12"/>
      <c r="C7" s="13" t="s">
        <v>16</v>
      </c>
      <c r="D7" s="441" t="s">
        <v>17</v>
      </c>
      <c r="E7" s="14" t="s">
        <v>44</v>
      </c>
      <c r="F7" s="173" t="s">
        <v>15</v>
      </c>
      <c r="G7" s="15"/>
      <c r="H7" s="10"/>
      <c r="I7" s="384"/>
      <c r="J7" s="15"/>
      <c r="K7" s="10"/>
      <c r="L7" s="186"/>
      <c r="M7" s="15"/>
      <c r="N7" s="10"/>
      <c r="O7" s="186"/>
      <c r="P7" s="181"/>
      <c r="Q7" s="66">
        <v>3000</v>
      </c>
      <c r="R7" s="5"/>
      <c r="Y7" s="102">
        <f aca="true" t="shared" si="0" ref="Y7:Y16">SUM(V7:X7)</f>
        <v>0</v>
      </c>
    </row>
    <row r="8" spans="2:25" ht="24.75" customHeight="1" hidden="1">
      <c r="B8" s="15"/>
      <c r="C8" s="10" t="s">
        <v>38</v>
      </c>
      <c r="D8" s="442"/>
      <c r="E8" s="11" t="s">
        <v>39</v>
      </c>
      <c r="F8" s="174"/>
      <c r="G8" s="15"/>
      <c r="H8" s="10"/>
      <c r="I8" s="384"/>
      <c r="J8" s="15"/>
      <c r="K8" s="10"/>
      <c r="L8" s="186"/>
      <c r="M8" s="15"/>
      <c r="N8" s="10"/>
      <c r="O8" s="186"/>
      <c r="P8" s="182"/>
      <c r="Q8" s="62"/>
      <c r="R8" s="6"/>
      <c r="Y8" s="102">
        <f t="shared" si="0"/>
        <v>0</v>
      </c>
    </row>
    <row r="9" spans="2:25" ht="24.75" customHeight="1" hidden="1">
      <c r="B9" s="15"/>
      <c r="C9" s="10" t="s">
        <v>40</v>
      </c>
      <c r="D9" s="442"/>
      <c r="E9" s="11" t="s">
        <v>41</v>
      </c>
      <c r="F9" s="174"/>
      <c r="G9" s="15"/>
      <c r="H9" s="10"/>
      <c r="I9" s="384"/>
      <c r="J9" s="15"/>
      <c r="K9" s="10"/>
      <c r="L9" s="186"/>
      <c r="M9" s="15"/>
      <c r="N9" s="10"/>
      <c r="O9" s="186"/>
      <c r="P9" s="182"/>
      <c r="Q9" s="62"/>
      <c r="R9" s="6"/>
      <c r="Y9" s="102">
        <f t="shared" si="0"/>
        <v>0</v>
      </c>
    </row>
    <row r="10" spans="2:25" s="9" customFormat="1" ht="24.75" customHeight="1" hidden="1">
      <c r="B10" s="16"/>
      <c r="C10" s="17" t="s">
        <v>42</v>
      </c>
      <c r="D10" s="443"/>
      <c r="E10" s="18" t="s">
        <v>43</v>
      </c>
      <c r="F10" s="175"/>
      <c r="G10" s="197"/>
      <c r="H10" s="195"/>
      <c r="I10" s="385"/>
      <c r="J10" s="197"/>
      <c r="K10" s="195"/>
      <c r="L10" s="198"/>
      <c r="M10" s="197"/>
      <c r="N10" s="195"/>
      <c r="O10" s="198"/>
      <c r="P10" s="183"/>
      <c r="Q10" s="67"/>
      <c r="R10" s="19"/>
      <c r="Y10" s="102">
        <f t="shared" si="0"/>
        <v>0</v>
      </c>
    </row>
    <row r="11" spans="2:25" s="9" customFormat="1" ht="24.75" customHeight="1" hidden="1">
      <c r="B11" s="25"/>
      <c r="C11" s="26"/>
      <c r="D11" s="27"/>
      <c r="E11" s="28"/>
      <c r="F11" s="29"/>
      <c r="G11" s="197"/>
      <c r="H11" s="195"/>
      <c r="I11" s="385"/>
      <c r="J11" s="197"/>
      <c r="K11" s="195"/>
      <c r="L11" s="198"/>
      <c r="M11" s="197"/>
      <c r="N11" s="195"/>
      <c r="O11" s="198"/>
      <c r="P11" s="30"/>
      <c r="Q11" s="68"/>
      <c r="R11" s="34">
        <f>SUM(R7:R10)</f>
        <v>0</v>
      </c>
      <c r="Y11" s="102">
        <f t="shared" si="0"/>
        <v>0</v>
      </c>
    </row>
    <row r="12" spans="2:25" s="9" customFormat="1" ht="29.25" customHeight="1" thickBot="1">
      <c r="B12" s="12"/>
      <c r="C12" s="13" t="s">
        <v>61</v>
      </c>
      <c r="D12" s="444" t="s">
        <v>0</v>
      </c>
      <c r="E12" s="14" t="s">
        <v>51</v>
      </c>
      <c r="F12" s="176" t="s">
        <v>1</v>
      </c>
      <c r="G12" s="187">
        <v>2500</v>
      </c>
      <c r="H12" s="24">
        <v>3200</v>
      </c>
      <c r="I12" s="386">
        <v>0</v>
      </c>
      <c r="J12" s="187">
        <v>2000</v>
      </c>
      <c r="K12" s="24">
        <v>3150</v>
      </c>
      <c r="L12" s="386">
        <v>0</v>
      </c>
      <c r="M12" s="187">
        <v>2350</v>
      </c>
      <c r="N12" s="24">
        <v>2800</v>
      </c>
      <c r="O12" s="386">
        <v>0</v>
      </c>
      <c r="P12" s="184">
        <f aca="true" t="shared" si="1" ref="P12:P19">SUM(G12:O12)</f>
        <v>16000</v>
      </c>
      <c r="Q12" s="69">
        <v>0.26</v>
      </c>
      <c r="R12" s="23">
        <f>P12*Q12</f>
        <v>4160</v>
      </c>
      <c r="U12" s="9" t="s">
        <v>332</v>
      </c>
      <c r="Y12" s="102">
        <f t="shared" si="0"/>
        <v>0</v>
      </c>
    </row>
    <row r="13" spans="2:25" s="9" customFormat="1" ht="45.75" thickBot="1">
      <c r="B13" s="46"/>
      <c r="C13" s="41" t="s">
        <v>248</v>
      </c>
      <c r="D13" s="445"/>
      <c r="E13" s="42" t="s">
        <v>52</v>
      </c>
      <c r="F13" s="177" t="s">
        <v>1</v>
      </c>
      <c r="G13" s="187">
        <v>1250</v>
      </c>
      <c r="H13" s="24">
        <v>1200</v>
      </c>
      <c r="I13" s="386">
        <v>0</v>
      </c>
      <c r="J13" s="187">
        <v>1500</v>
      </c>
      <c r="K13" s="24">
        <v>2300</v>
      </c>
      <c r="L13" s="386">
        <v>0</v>
      </c>
      <c r="M13" s="187">
        <v>1300</v>
      </c>
      <c r="N13" s="24">
        <v>2350</v>
      </c>
      <c r="O13" s="386">
        <v>0</v>
      </c>
      <c r="P13" s="184">
        <f t="shared" si="1"/>
        <v>9900</v>
      </c>
      <c r="Q13" s="69">
        <v>0.34</v>
      </c>
      <c r="R13" s="23">
        <f aca="true" t="shared" si="2" ref="R13:R18">P13*Q13</f>
        <v>3366.0000000000005</v>
      </c>
      <c r="U13" s="331" t="s">
        <v>333</v>
      </c>
      <c r="V13" s="371">
        <f>SUM(G27:I27)</f>
        <v>640</v>
      </c>
      <c r="W13" s="371">
        <f>SUM(J27:L27)</f>
        <v>1040</v>
      </c>
      <c r="X13" s="371">
        <f>SUM(M27:O27)</f>
        <v>760</v>
      </c>
      <c r="Y13" s="102">
        <f t="shared" si="0"/>
        <v>2440</v>
      </c>
    </row>
    <row r="14" spans="2:25" s="9" customFormat="1" ht="42" customHeight="1" thickBot="1">
      <c r="B14" s="47"/>
      <c r="C14" s="10" t="s">
        <v>61</v>
      </c>
      <c r="D14" s="445"/>
      <c r="E14" s="11" t="s">
        <v>59</v>
      </c>
      <c r="F14" s="178" t="s">
        <v>8</v>
      </c>
      <c r="G14" s="187">
        <v>1064</v>
      </c>
      <c r="H14" s="24">
        <v>2880</v>
      </c>
      <c r="I14" s="386">
        <v>0</v>
      </c>
      <c r="J14" s="187">
        <v>1792</v>
      </c>
      <c r="K14" s="24">
        <v>5712</v>
      </c>
      <c r="L14" s="386">
        <v>0</v>
      </c>
      <c r="M14" s="187">
        <v>1682</v>
      </c>
      <c r="N14" s="24">
        <v>3116</v>
      </c>
      <c r="O14" s="386">
        <v>0</v>
      </c>
      <c r="P14" s="184">
        <f t="shared" si="1"/>
        <v>16246</v>
      </c>
      <c r="Q14" s="69">
        <v>2.15</v>
      </c>
      <c r="R14" s="23">
        <f t="shared" si="2"/>
        <v>34928.9</v>
      </c>
      <c r="U14" s="333" t="s">
        <v>337</v>
      </c>
      <c r="V14" s="337">
        <f>V13/Y13*100</f>
        <v>26.229508196721312</v>
      </c>
      <c r="W14" s="337">
        <f>W13/Y13*100</f>
        <v>42.62295081967213</v>
      </c>
      <c r="X14" s="337">
        <f>X13/Y13*100</f>
        <v>31.147540983606557</v>
      </c>
      <c r="Y14" s="338">
        <f t="shared" si="0"/>
        <v>100</v>
      </c>
    </row>
    <row r="15" spans="2:25" s="9" customFormat="1" ht="24.75" customHeight="1" hidden="1">
      <c r="B15" s="15"/>
      <c r="C15" s="10" t="s">
        <v>19</v>
      </c>
      <c r="D15" s="445"/>
      <c r="E15" s="11" t="s">
        <v>18</v>
      </c>
      <c r="F15" s="178" t="s">
        <v>8</v>
      </c>
      <c r="G15" s="187"/>
      <c r="H15" s="24"/>
      <c r="I15" s="386"/>
      <c r="J15" s="187"/>
      <c r="K15" s="24"/>
      <c r="L15" s="386"/>
      <c r="M15" s="187"/>
      <c r="N15" s="24"/>
      <c r="O15" s="386"/>
      <c r="P15" s="184">
        <f t="shared" si="1"/>
        <v>0</v>
      </c>
      <c r="Q15" s="69"/>
      <c r="R15" s="23">
        <f t="shared" si="2"/>
        <v>0</v>
      </c>
      <c r="U15" s="331" t="s">
        <v>334</v>
      </c>
      <c r="V15" s="9">
        <f>SUM(G31:I31)</f>
        <v>0</v>
      </c>
      <c r="W15" s="9">
        <f>SUM(J31:L31)</f>
        <v>0</v>
      </c>
      <c r="X15" s="9">
        <f>SUM(M31:O31)</f>
        <v>454</v>
      </c>
      <c r="Y15" s="338">
        <f t="shared" si="0"/>
        <v>454</v>
      </c>
    </row>
    <row r="16" spans="2:25" s="21" customFormat="1" ht="30" customHeight="1" thickBot="1">
      <c r="B16" s="15"/>
      <c r="C16" s="10" t="s">
        <v>65</v>
      </c>
      <c r="D16" s="445"/>
      <c r="E16" s="11" t="s">
        <v>66</v>
      </c>
      <c r="F16" s="178" t="s">
        <v>1</v>
      </c>
      <c r="G16" s="187">
        <v>2800</v>
      </c>
      <c r="H16" s="24">
        <v>4800</v>
      </c>
      <c r="I16" s="386">
        <v>0</v>
      </c>
      <c r="J16" s="187">
        <v>5600</v>
      </c>
      <c r="K16" s="24">
        <v>13600</v>
      </c>
      <c r="L16" s="386">
        <v>0</v>
      </c>
      <c r="M16" s="187">
        <v>4400</v>
      </c>
      <c r="N16" s="24">
        <v>5800</v>
      </c>
      <c r="O16" s="386">
        <v>0</v>
      </c>
      <c r="P16" s="184">
        <f t="shared" si="1"/>
        <v>37000</v>
      </c>
      <c r="Q16" s="69">
        <v>0.16</v>
      </c>
      <c r="R16" s="23">
        <f t="shared" si="2"/>
        <v>5920</v>
      </c>
      <c r="V16" s="340">
        <f>R27*0.3204</f>
        <v>3820.539312</v>
      </c>
      <c r="W16" s="340">
        <f>R27*0.3786</f>
        <v>4514.532407999999</v>
      </c>
      <c r="X16" s="340">
        <f>R27*0.301</f>
        <v>3589.2082799999994</v>
      </c>
      <c r="Y16" s="372">
        <f t="shared" si="0"/>
        <v>11924.279999999999</v>
      </c>
    </row>
    <row r="17" spans="2:25" s="21" customFormat="1" ht="33.75" customHeight="1" thickBot="1">
      <c r="B17" s="15"/>
      <c r="C17" s="10" t="s">
        <v>60</v>
      </c>
      <c r="D17" s="445"/>
      <c r="E17" s="11" t="s">
        <v>64</v>
      </c>
      <c r="F17" s="178" t="s">
        <v>1</v>
      </c>
      <c r="G17" s="187">
        <v>1604</v>
      </c>
      <c r="H17" s="24">
        <v>2880</v>
      </c>
      <c r="I17" s="386">
        <v>0</v>
      </c>
      <c r="J17" s="187">
        <v>1792</v>
      </c>
      <c r="K17" s="24">
        <v>5712</v>
      </c>
      <c r="L17" s="386">
        <v>0</v>
      </c>
      <c r="M17" s="187">
        <v>1627</v>
      </c>
      <c r="N17" s="24">
        <v>3116</v>
      </c>
      <c r="O17" s="386">
        <v>0</v>
      </c>
      <c r="P17" s="184">
        <f t="shared" si="1"/>
        <v>16731</v>
      </c>
      <c r="Q17" s="69">
        <v>1.09</v>
      </c>
      <c r="R17" s="23">
        <f t="shared" si="2"/>
        <v>18236.79</v>
      </c>
      <c r="U17" s="331" t="s">
        <v>334</v>
      </c>
      <c r="V17" s="9">
        <f>SUM(G31:I31)</f>
        <v>0</v>
      </c>
      <c r="W17" s="9">
        <f>SUM(J31:L31)</f>
        <v>0</v>
      </c>
      <c r="X17" s="9">
        <f>SUM(M31:O31)</f>
        <v>454</v>
      </c>
      <c r="Y17" s="102">
        <f aca="true" t="shared" si="3" ref="Y17:Y25">SUM(V17:X17)</f>
        <v>454</v>
      </c>
    </row>
    <row r="18" spans="2:25" s="22" customFormat="1" ht="24.75" customHeight="1" thickBot="1">
      <c r="B18" s="48"/>
      <c r="C18" s="43" t="s">
        <v>63</v>
      </c>
      <c r="D18" s="445"/>
      <c r="E18" s="44" t="s">
        <v>54</v>
      </c>
      <c r="F18" s="179" t="s">
        <v>53</v>
      </c>
      <c r="G18" s="188">
        <v>150</v>
      </c>
      <c r="H18" s="62">
        <v>230</v>
      </c>
      <c r="I18" s="387">
        <v>0</v>
      </c>
      <c r="J18" s="188">
        <v>275</v>
      </c>
      <c r="K18" s="62">
        <v>150</v>
      </c>
      <c r="L18" s="387">
        <v>0</v>
      </c>
      <c r="M18" s="188">
        <v>125</v>
      </c>
      <c r="N18" s="62">
        <v>240</v>
      </c>
      <c r="O18" s="387">
        <v>0</v>
      </c>
      <c r="P18" s="184">
        <f t="shared" si="1"/>
        <v>1170</v>
      </c>
      <c r="Q18" s="62">
        <v>2.22</v>
      </c>
      <c r="R18" s="23">
        <f t="shared" si="2"/>
        <v>2597.4</v>
      </c>
      <c r="U18" s="333" t="s">
        <v>337</v>
      </c>
      <c r="V18" s="339">
        <v>28.5</v>
      </c>
      <c r="W18" s="339">
        <v>37.5</v>
      </c>
      <c r="X18" s="339">
        <v>34</v>
      </c>
      <c r="Y18" s="339">
        <f t="shared" si="3"/>
        <v>100</v>
      </c>
    </row>
    <row r="19" spans="2:25" s="22" customFormat="1" ht="24.75" customHeight="1" thickBot="1">
      <c r="B19" s="59"/>
      <c r="C19" s="60"/>
      <c r="D19" s="446"/>
      <c r="E19" s="61"/>
      <c r="F19" s="180"/>
      <c r="G19" s="199"/>
      <c r="H19" s="70"/>
      <c r="I19" s="388"/>
      <c r="J19" s="199"/>
      <c r="K19" s="70"/>
      <c r="L19" s="200"/>
      <c r="M19" s="199"/>
      <c r="N19" s="70"/>
      <c r="O19" s="200"/>
      <c r="P19" s="184">
        <f t="shared" si="1"/>
        <v>0</v>
      </c>
      <c r="Q19" s="70"/>
      <c r="R19" s="19"/>
      <c r="U19" s="335" t="s">
        <v>157</v>
      </c>
      <c r="V19" s="340">
        <v>0</v>
      </c>
      <c r="W19" s="340">
        <v>0</v>
      </c>
      <c r="X19" s="340">
        <f>R31*1</f>
        <v>39219.08448</v>
      </c>
      <c r="Y19" s="340">
        <f t="shared" si="3"/>
        <v>39219.08448</v>
      </c>
    </row>
    <row r="20" spans="2:25" ht="24.75" customHeight="1" thickBot="1">
      <c r="B20" s="49"/>
      <c r="C20" s="50"/>
      <c r="D20" s="51"/>
      <c r="E20" s="36"/>
      <c r="F20" s="52"/>
      <c r="G20" s="330">
        <f aca="true" t="shared" si="4" ref="G20:O20">SUM(G12:G19)</f>
        <v>9368</v>
      </c>
      <c r="H20" s="330">
        <f t="shared" si="4"/>
        <v>15190</v>
      </c>
      <c r="I20" s="330">
        <f t="shared" si="4"/>
        <v>0</v>
      </c>
      <c r="J20" s="330">
        <f t="shared" si="4"/>
        <v>12959</v>
      </c>
      <c r="K20" s="330">
        <f t="shared" si="4"/>
        <v>30624</v>
      </c>
      <c r="L20" s="330">
        <f t="shared" si="4"/>
        <v>0</v>
      </c>
      <c r="M20" s="330">
        <f t="shared" si="4"/>
        <v>11484</v>
      </c>
      <c r="N20" s="330">
        <f t="shared" si="4"/>
        <v>17422</v>
      </c>
      <c r="O20" s="330">
        <f t="shared" si="4"/>
        <v>0</v>
      </c>
      <c r="P20" s="32"/>
      <c r="Q20" s="75"/>
      <c r="R20" s="33">
        <f>SUM(R12:R19)</f>
        <v>69209.09</v>
      </c>
      <c r="U20" s="331" t="s">
        <v>360</v>
      </c>
      <c r="V20" s="9">
        <f>SUM(G38:I38)</f>
        <v>8</v>
      </c>
      <c r="W20" s="9">
        <f>SUM(J38:L38)</f>
        <v>14</v>
      </c>
      <c r="X20" s="9">
        <f>SUM(M38:O38)</f>
        <v>13</v>
      </c>
      <c r="Y20" s="102">
        <f t="shared" si="3"/>
        <v>35</v>
      </c>
    </row>
    <row r="21" spans="2:25" ht="24.75" customHeight="1" thickBot="1">
      <c r="B21" s="447" t="s">
        <v>2</v>
      </c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9"/>
      <c r="U21" s="333" t="s">
        <v>337</v>
      </c>
      <c r="V21" s="358">
        <f>V20/Y20*100</f>
        <v>22.857142857142858</v>
      </c>
      <c r="W21" s="358">
        <f>W20/Y20*100</f>
        <v>40</v>
      </c>
      <c r="X21" s="358">
        <f>X20/Y20*100</f>
        <v>37.142857142857146</v>
      </c>
      <c r="Y21" s="339">
        <f t="shared" si="3"/>
        <v>100</v>
      </c>
    </row>
    <row r="22" spans="2:28" ht="24.75" customHeight="1" thickBot="1">
      <c r="B22" s="53"/>
      <c r="C22" s="13" t="s">
        <v>61</v>
      </c>
      <c r="D22" s="431" t="s">
        <v>3</v>
      </c>
      <c r="E22" s="14" t="s">
        <v>4</v>
      </c>
      <c r="F22" s="173" t="s">
        <v>5</v>
      </c>
      <c r="G22" s="12">
        <v>240</v>
      </c>
      <c r="H22" s="13">
        <v>400</v>
      </c>
      <c r="I22" s="185">
        <v>0</v>
      </c>
      <c r="J22" s="12">
        <v>320</v>
      </c>
      <c r="K22" s="13">
        <v>720</v>
      </c>
      <c r="L22" s="185">
        <v>0</v>
      </c>
      <c r="M22" s="12">
        <v>200</v>
      </c>
      <c r="N22" s="13">
        <v>560</v>
      </c>
      <c r="O22" s="185">
        <v>0</v>
      </c>
      <c r="P22" s="191">
        <f>SUM(G22:O22)</f>
        <v>2440</v>
      </c>
      <c r="Q22" s="71">
        <f>Composição!E35</f>
        <v>4.887</v>
      </c>
      <c r="R22" s="7">
        <f>P22*Q22</f>
        <v>11924.279999999999</v>
      </c>
      <c r="U22" s="335" t="s">
        <v>157</v>
      </c>
      <c r="V22" s="340">
        <f>R38*0.2857</f>
        <v>919.9540000000001</v>
      </c>
      <c r="W22" s="340">
        <f>R38*0.375</f>
        <v>1207.5</v>
      </c>
      <c r="X22" s="340">
        <f>R38*0.3393</f>
        <v>1092.546</v>
      </c>
      <c r="Y22" s="340">
        <f t="shared" si="3"/>
        <v>3220</v>
      </c>
      <c r="AB22" s="413"/>
    </row>
    <row r="23" spans="2:25" ht="19.5" customHeight="1" hidden="1">
      <c r="B23" s="15">
        <v>3005</v>
      </c>
      <c r="C23" s="10" t="s">
        <v>21</v>
      </c>
      <c r="D23" s="432"/>
      <c r="E23" s="11" t="s">
        <v>20</v>
      </c>
      <c r="F23" s="174" t="s">
        <v>5</v>
      </c>
      <c r="G23" s="15"/>
      <c r="H23" s="10"/>
      <c r="I23" s="186"/>
      <c r="J23" s="15"/>
      <c r="K23" s="10"/>
      <c r="L23" s="186"/>
      <c r="M23" s="15"/>
      <c r="N23" s="10"/>
      <c r="O23" s="186"/>
      <c r="P23" s="192"/>
      <c r="Q23" s="72"/>
      <c r="R23" s="7">
        <f>P23*Q23</f>
        <v>0</v>
      </c>
      <c r="Y23" s="339">
        <f t="shared" si="3"/>
        <v>0</v>
      </c>
    </row>
    <row r="24" spans="2:25" ht="24.75" customHeight="1" hidden="1">
      <c r="B24" s="15">
        <v>3006</v>
      </c>
      <c r="C24" s="10" t="s">
        <v>21</v>
      </c>
      <c r="D24" s="432"/>
      <c r="E24" s="11" t="s">
        <v>22</v>
      </c>
      <c r="F24" s="174" t="s">
        <v>5</v>
      </c>
      <c r="G24" s="15"/>
      <c r="H24" s="10"/>
      <c r="I24" s="186"/>
      <c r="J24" s="15"/>
      <c r="K24" s="10"/>
      <c r="L24" s="186"/>
      <c r="M24" s="15"/>
      <c r="N24" s="10"/>
      <c r="O24" s="186"/>
      <c r="P24" s="192"/>
      <c r="Q24" s="72"/>
      <c r="R24" s="7">
        <f>P24*Q24</f>
        <v>0</v>
      </c>
      <c r="Y24" s="339">
        <f t="shared" si="3"/>
        <v>0</v>
      </c>
    </row>
    <row r="25" spans="2:25" ht="24.75" customHeight="1" hidden="1">
      <c r="B25" s="15">
        <v>3007</v>
      </c>
      <c r="C25" s="10" t="s">
        <v>21</v>
      </c>
      <c r="D25" s="432"/>
      <c r="E25" s="11" t="s">
        <v>23</v>
      </c>
      <c r="F25" s="174" t="s">
        <v>5</v>
      </c>
      <c r="G25" s="15"/>
      <c r="H25" s="10"/>
      <c r="I25" s="186"/>
      <c r="J25" s="15"/>
      <c r="K25" s="10"/>
      <c r="L25" s="186"/>
      <c r="M25" s="15"/>
      <c r="N25" s="10"/>
      <c r="O25" s="186"/>
      <c r="P25" s="192"/>
      <c r="Q25" s="72"/>
      <c r="R25" s="7">
        <f>P25*Q25</f>
        <v>0</v>
      </c>
      <c r="V25" s="351">
        <f>R38*0.285</f>
        <v>917.6999999999999</v>
      </c>
      <c r="W25" s="351">
        <f>R38*0.375</f>
        <v>1207.5</v>
      </c>
      <c r="X25" s="351">
        <f>R38*0.34</f>
        <v>1094.8000000000002</v>
      </c>
      <c r="Y25" s="340">
        <f t="shared" si="3"/>
        <v>3220</v>
      </c>
    </row>
    <row r="26" spans="2:28" ht="24.75" customHeight="1" thickBot="1">
      <c r="B26" s="40"/>
      <c r="C26" s="20" t="s">
        <v>243</v>
      </c>
      <c r="D26" s="433"/>
      <c r="E26" s="18" t="s">
        <v>98</v>
      </c>
      <c r="F26" s="189" t="s">
        <v>25</v>
      </c>
      <c r="G26" s="40"/>
      <c r="H26" s="20"/>
      <c r="I26" s="190"/>
      <c r="J26" s="40"/>
      <c r="K26" s="20"/>
      <c r="L26" s="190"/>
      <c r="M26" s="40"/>
      <c r="N26" s="20"/>
      <c r="O26" s="190"/>
      <c r="P26" s="193"/>
      <c r="Q26" s="73">
        <f>'Memorial '!L22</f>
        <v>1460.6299</v>
      </c>
      <c r="R26" s="7">
        <f>P26*Q26</f>
        <v>0</v>
      </c>
      <c r="AB26" s="1"/>
    </row>
    <row r="27" spans="2:25" ht="24.75" customHeight="1" thickBot="1">
      <c r="B27" s="49"/>
      <c r="C27" s="50"/>
      <c r="D27" s="51"/>
      <c r="E27" s="36"/>
      <c r="F27" s="52"/>
      <c r="G27" s="52">
        <f aca="true" t="shared" si="5" ref="G27:O27">SUM(G22:G26)</f>
        <v>240</v>
      </c>
      <c r="H27" s="52">
        <f t="shared" si="5"/>
        <v>400</v>
      </c>
      <c r="I27" s="52">
        <f t="shared" si="5"/>
        <v>0</v>
      </c>
      <c r="J27" s="52">
        <f t="shared" si="5"/>
        <v>320</v>
      </c>
      <c r="K27" s="52">
        <f t="shared" si="5"/>
        <v>720</v>
      </c>
      <c r="L27" s="52">
        <f t="shared" si="5"/>
        <v>0</v>
      </c>
      <c r="M27" s="52">
        <f t="shared" si="5"/>
        <v>200</v>
      </c>
      <c r="N27" s="52">
        <f t="shared" si="5"/>
        <v>560</v>
      </c>
      <c r="O27" s="52">
        <f t="shared" si="5"/>
        <v>0</v>
      </c>
      <c r="P27" s="32"/>
      <c r="Q27" s="75"/>
      <c r="R27" s="45">
        <f>SUM(R22:R26)</f>
        <v>11924.279999999999</v>
      </c>
      <c r="U27" s="332" t="s">
        <v>336</v>
      </c>
      <c r="V27" s="22">
        <f>SUM(G44:I44)</f>
        <v>228</v>
      </c>
      <c r="W27" s="22">
        <f>SUM(J44:L44)</f>
        <v>576</v>
      </c>
      <c r="X27" s="22">
        <f>SUM(M44:O44)</f>
        <v>294</v>
      </c>
      <c r="Y27" s="22">
        <f>SUM(V27:X27)</f>
        <v>1098</v>
      </c>
    </row>
    <row r="28" spans="2:25" ht="24.75" customHeight="1">
      <c r="B28" s="172"/>
      <c r="C28" s="12" t="s">
        <v>272</v>
      </c>
      <c r="D28" s="438" t="s">
        <v>24</v>
      </c>
      <c r="E28" s="14" t="s">
        <v>273</v>
      </c>
      <c r="F28" s="173" t="s">
        <v>5</v>
      </c>
      <c r="G28" s="12"/>
      <c r="H28" s="13"/>
      <c r="I28" s="185"/>
      <c r="J28" s="12"/>
      <c r="K28" s="13"/>
      <c r="L28" s="185"/>
      <c r="M28" s="12"/>
      <c r="N28" s="13">
        <v>12</v>
      </c>
      <c r="O28" s="185"/>
      <c r="P28" s="354">
        <f>SUM(G28:O28)</f>
        <v>12</v>
      </c>
      <c r="Q28" s="84">
        <v>224.61</v>
      </c>
      <c r="R28" s="355">
        <f>Q28*P28</f>
        <v>2695.32</v>
      </c>
      <c r="U28" s="333" t="s">
        <v>337</v>
      </c>
      <c r="V28" s="360">
        <f>V27/Y27*100</f>
        <v>20.76502732240437</v>
      </c>
      <c r="W28" s="360">
        <f>W27/Y27*100</f>
        <v>52.459016393442624</v>
      </c>
      <c r="X28" s="360">
        <f>X27/Y27*100</f>
        <v>26.775956284153008</v>
      </c>
      <c r="Y28" s="361">
        <f>SUM(V28:X28)</f>
        <v>100</v>
      </c>
    </row>
    <row r="29" spans="2:25" ht="24.75" customHeight="1">
      <c r="B29" s="172"/>
      <c r="C29" s="15" t="s">
        <v>270</v>
      </c>
      <c r="D29" s="439"/>
      <c r="E29" s="11" t="s">
        <v>271</v>
      </c>
      <c r="F29" s="174" t="s">
        <v>5</v>
      </c>
      <c r="G29" s="15"/>
      <c r="H29" s="10"/>
      <c r="I29" s="186"/>
      <c r="J29" s="15"/>
      <c r="K29" s="10"/>
      <c r="L29" s="186"/>
      <c r="M29" s="15">
        <v>440</v>
      </c>
      <c r="N29" s="10"/>
      <c r="O29" s="186"/>
      <c r="P29" s="216">
        <f>SUM(G29:O29)</f>
        <v>440</v>
      </c>
      <c r="Q29" s="85">
        <v>81.84</v>
      </c>
      <c r="R29" s="38">
        <f>Q29*P29</f>
        <v>36009.6</v>
      </c>
      <c r="U29" s="335" t="s">
        <v>157</v>
      </c>
      <c r="V29" s="351">
        <f>(R44-R40)*0.2671</f>
        <v>19062.123424308003</v>
      </c>
      <c r="W29" s="351">
        <f>(R44-R40)*0.4658</f>
        <v>33242.744631384005</v>
      </c>
      <c r="X29" s="351">
        <f>(R44-R40)*0.2671+R40</f>
        <v>54759.543424308</v>
      </c>
      <c r="Y29" s="341">
        <f>SUM(V29:X29)</f>
        <v>107064.41148000001</v>
      </c>
    </row>
    <row r="30" spans="2:25" ht="24.75" customHeight="1" thickBot="1">
      <c r="B30" s="172"/>
      <c r="C30" s="40" t="s">
        <v>61</v>
      </c>
      <c r="D30" s="440"/>
      <c r="E30" s="18" t="s">
        <v>26</v>
      </c>
      <c r="F30" s="189" t="s">
        <v>25</v>
      </c>
      <c r="G30" s="40"/>
      <c r="H30" s="20"/>
      <c r="I30" s="190"/>
      <c r="J30" s="40"/>
      <c r="K30" s="20"/>
      <c r="L30" s="190"/>
      <c r="M30" s="40"/>
      <c r="N30" s="20">
        <v>2</v>
      </c>
      <c r="O30" s="190"/>
      <c r="P30" s="356">
        <f>SUM(G30:O30)</f>
        <v>2</v>
      </c>
      <c r="Q30" s="76">
        <f>Composição!F79</f>
        <v>257.08224</v>
      </c>
      <c r="R30" s="357">
        <f>Q30*P30</f>
        <v>514.16448</v>
      </c>
      <c r="U30" t="s">
        <v>338</v>
      </c>
      <c r="V30" s="22"/>
      <c r="W30" s="22"/>
      <c r="X30" s="22"/>
      <c r="Y30" s="342"/>
    </row>
    <row r="31" spans="2:25" ht="24.75" customHeight="1" thickBot="1">
      <c r="B31" s="49"/>
      <c r="C31" s="50"/>
      <c r="D31" s="51"/>
      <c r="E31" s="36"/>
      <c r="F31" s="52"/>
      <c r="G31" s="52">
        <f aca="true" t="shared" si="6" ref="G31:O31">SUM(G28:G30)</f>
        <v>0</v>
      </c>
      <c r="H31" s="52">
        <f t="shared" si="6"/>
        <v>0</v>
      </c>
      <c r="I31" s="52">
        <f t="shared" si="6"/>
        <v>0</v>
      </c>
      <c r="J31" s="52">
        <f t="shared" si="6"/>
        <v>0</v>
      </c>
      <c r="K31" s="52">
        <f t="shared" si="6"/>
        <v>0</v>
      </c>
      <c r="L31" s="52">
        <f t="shared" si="6"/>
        <v>0</v>
      </c>
      <c r="M31" s="52">
        <f t="shared" si="6"/>
        <v>440</v>
      </c>
      <c r="N31" s="52">
        <f t="shared" si="6"/>
        <v>14</v>
      </c>
      <c r="O31" s="52">
        <f t="shared" si="6"/>
        <v>0</v>
      </c>
      <c r="P31" s="32"/>
      <c r="Q31" s="75"/>
      <c r="R31" s="45">
        <f>SUM(R28:R30)</f>
        <v>39219.08448</v>
      </c>
      <c r="U31" s="343" t="s">
        <v>339</v>
      </c>
      <c r="V31">
        <f>SUM(G48:I48)</f>
        <v>1520</v>
      </c>
      <c r="W31">
        <f>SUM(J48:L48)</f>
        <v>3840</v>
      </c>
      <c r="X31">
        <f>SUM(M48:O48)</f>
        <v>2580</v>
      </c>
      <c r="Y31" s="344">
        <f aca="true" t="shared" si="7" ref="Y31:Y37">SUM(V31:X31)</f>
        <v>7940</v>
      </c>
    </row>
    <row r="32" spans="2:25" ht="24.75" customHeight="1" thickBot="1">
      <c r="B32" s="12"/>
      <c r="C32" s="13" t="s">
        <v>249</v>
      </c>
      <c r="D32" s="431" t="s">
        <v>27</v>
      </c>
      <c r="E32" s="14" t="s">
        <v>250</v>
      </c>
      <c r="F32" s="173" t="s">
        <v>5</v>
      </c>
      <c r="G32" s="12"/>
      <c r="H32" s="13"/>
      <c r="I32" s="185"/>
      <c r="J32" s="12"/>
      <c r="K32" s="13"/>
      <c r="L32" s="185"/>
      <c r="M32" s="12"/>
      <c r="N32" s="13"/>
      <c r="O32" s="185"/>
      <c r="P32" s="218">
        <f>SUM(G32:O32)</f>
        <v>0</v>
      </c>
      <c r="Q32" s="77">
        <v>146.41</v>
      </c>
      <c r="R32" s="39">
        <f>P32*Q32</f>
        <v>0</v>
      </c>
      <c r="U32" s="333" t="s">
        <v>337</v>
      </c>
      <c r="V32" s="352">
        <f>V31/Y31*100</f>
        <v>19.143576826196472</v>
      </c>
      <c r="W32" s="352">
        <f>W31/Y31*100</f>
        <v>48.36272040302267</v>
      </c>
      <c r="X32" s="352">
        <f>X31/Y31*100</f>
        <v>32.49370277078086</v>
      </c>
      <c r="Y32" s="353">
        <f t="shared" si="7"/>
        <v>100</v>
      </c>
    </row>
    <row r="33" spans="2:25" ht="30.75" thickBot="1">
      <c r="B33" s="40"/>
      <c r="C33" s="20" t="s">
        <v>251</v>
      </c>
      <c r="D33" s="433"/>
      <c r="E33" s="18" t="s">
        <v>252</v>
      </c>
      <c r="F33" s="189" t="s">
        <v>5</v>
      </c>
      <c r="G33" s="40"/>
      <c r="H33" s="20"/>
      <c r="I33" s="190"/>
      <c r="J33" s="40"/>
      <c r="K33" s="20"/>
      <c r="L33" s="190"/>
      <c r="M33" s="40"/>
      <c r="N33" s="20"/>
      <c r="O33" s="190"/>
      <c r="P33" s="218">
        <f>SUM(G33:O33)</f>
        <v>0</v>
      </c>
      <c r="Q33" s="76">
        <v>160.95</v>
      </c>
      <c r="R33" s="39">
        <f>P33*Q33</f>
        <v>0</v>
      </c>
      <c r="U33" s="335" t="s">
        <v>157</v>
      </c>
      <c r="V33" s="351">
        <f>(R48-6623.76)*0.25</f>
        <v>3470.7724999999996</v>
      </c>
      <c r="W33" s="351">
        <f>(R48-6623.76)*0.43</f>
        <v>5969.728699999999</v>
      </c>
      <c r="X33" s="351">
        <f>R48-(V33+W33)</f>
        <v>11066.3488</v>
      </c>
      <c r="Y33" s="341">
        <f t="shared" si="7"/>
        <v>20506.85</v>
      </c>
    </row>
    <row r="34" spans="2:25" ht="24.75" customHeight="1" thickBot="1">
      <c r="B34" s="49"/>
      <c r="C34" s="50"/>
      <c r="D34" s="51"/>
      <c r="E34" s="36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32"/>
      <c r="Q34" s="75"/>
      <c r="R34" s="45">
        <f>SUM(R32:R33)</f>
        <v>0</v>
      </c>
      <c r="U34" s="343" t="s">
        <v>340</v>
      </c>
      <c r="V34" s="140">
        <f>SUM(G56:I56)</f>
        <v>2</v>
      </c>
      <c r="W34" s="140">
        <f>SUM(J56:L56)</f>
        <v>0</v>
      </c>
      <c r="X34" s="140">
        <f>SUM(M56:O56)</f>
        <v>1</v>
      </c>
      <c r="Y34" s="362">
        <f t="shared" si="7"/>
        <v>3</v>
      </c>
    </row>
    <row r="35" spans="2:25" ht="24.75" customHeight="1" thickBot="1">
      <c r="B35" s="53"/>
      <c r="C35" s="13" t="s">
        <v>61</v>
      </c>
      <c r="D35" s="431" t="s">
        <v>6</v>
      </c>
      <c r="E35" s="14" t="s">
        <v>46</v>
      </c>
      <c r="F35" s="173" t="s">
        <v>25</v>
      </c>
      <c r="G35" s="12"/>
      <c r="H35" s="13"/>
      <c r="I35" s="185"/>
      <c r="J35" s="12"/>
      <c r="K35" s="13"/>
      <c r="L35" s="185"/>
      <c r="M35" s="12"/>
      <c r="N35" s="13"/>
      <c r="O35" s="185"/>
      <c r="P35" s="191"/>
      <c r="Q35" s="71">
        <f>Composição!E45</f>
        <v>557.6060606060605</v>
      </c>
      <c r="R35" s="8">
        <f>P35*Q35</f>
        <v>0</v>
      </c>
      <c r="U35" s="333" t="s">
        <v>337</v>
      </c>
      <c r="V35">
        <v>66.66</v>
      </c>
      <c r="W35">
        <f>SUM(J56:L56)</f>
        <v>0</v>
      </c>
      <c r="X35">
        <v>33.34</v>
      </c>
      <c r="Y35" s="362">
        <f t="shared" si="7"/>
        <v>100</v>
      </c>
    </row>
    <row r="36" spans="2:25" ht="24.75" customHeight="1" hidden="1">
      <c r="B36" s="15"/>
      <c r="C36" s="10"/>
      <c r="D36" s="432"/>
      <c r="E36" s="11" t="s">
        <v>28</v>
      </c>
      <c r="F36" s="174" t="s">
        <v>5</v>
      </c>
      <c r="G36" s="15"/>
      <c r="H36" s="10"/>
      <c r="I36" s="186"/>
      <c r="J36" s="15"/>
      <c r="K36" s="10"/>
      <c r="L36" s="186"/>
      <c r="M36" s="15"/>
      <c r="N36" s="10"/>
      <c r="O36" s="186"/>
      <c r="P36" s="192"/>
      <c r="Q36" s="72"/>
      <c r="R36" s="8">
        <f>P36*Q36</f>
        <v>0</v>
      </c>
      <c r="U36" s="333" t="s">
        <v>337</v>
      </c>
      <c r="V36" s="363">
        <v>66</v>
      </c>
      <c r="W36" s="363">
        <v>0</v>
      </c>
      <c r="X36" s="363">
        <v>34</v>
      </c>
      <c r="Y36" s="362">
        <f t="shared" si="7"/>
        <v>100</v>
      </c>
    </row>
    <row r="37" spans="2:25" ht="30.75" customHeight="1" thickBot="1">
      <c r="B37" s="40"/>
      <c r="C37" s="20" t="s">
        <v>61</v>
      </c>
      <c r="D37" s="433"/>
      <c r="E37" s="18" t="s">
        <v>265</v>
      </c>
      <c r="F37" s="189" t="s">
        <v>25</v>
      </c>
      <c r="G37" s="40">
        <v>3</v>
      </c>
      <c r="H37" s="20">
        <v>5</v>
      </c>
      <c r="I37" s="190">
        <v>0</v>
      </c>
      <c r="J37" s="40">
        <v>4</v>
      </c>
      <c r="K37" s="20">
        <v>10</v>
      </c>
      <c r="L37" s="190">
        <v>0</v>
      </c>
      <c r="M37" s="40">
        <v>4</v>
      </c>
      <c r="N37" s="20">
        <v>9</v>
      </c>
      <c r="O37" s="190">
        <v>0</v>
      </c>
      <c r="P37" s="193">
        <f>SUM(G37:O37)</f>
        <v>35</v>
      </c>
      <c r="Q37" s="73">
        <v>92</v>
      </c>
      <c r="R37" s="8">
        <f>P37*Q37</f>
        <v>3220</v>
      </c>
      <c r="U37" s="335" t="s">
        <v>157</v>
      </c>
      <c r="V37" s="351">
        <f>R56*0.67</f>
        <v>13400</v>
      </c>
      <c r="W37" s="351">
        <f>S56*0.67</f>
        <v>0</v>
      </c>
      <c r="X37" s="351">
        <f>R56*0.33</f>
        <v>6600</v>
      </c>
      <c r="Y37" s="351">
        <f t="shared" si="7"/>
        <v>20000</v>
      </c>
    </row>
    <row r="38" spans="2:18" ht="24.75" customHeight="1" thickBot="1">
      <c r="B38" s="49"/>
      <c r="C38" s="50"/>
      <c r="D38" s="51"/>
      <c r="E38" s="36"/>
      <c r="F38" s="52"/>
      <c r="G38" s="52">
        <f aca="true" t="shared" si="8" ref="G38:O38">SUM(G35:G37)</f>
        <v>3</v>
      </c>
      <c r="H38" s="52">
        <f t="shared" si="8"/>
        <v>5</v>
      </c>
      <c r="I38" s="52">
        <f t="shared" si="8"/>
        <v>0</v>
      </c>
      <c r="J38" s="52">
        <f t="shared" si="8"/>
        <v>4</v>
      </c>
      <c r="K38" s="52">
        <f t="shared" si="8"/>
        <v>10</v>
      </c>
      <c r="L38" s="52">
        <f t="shared" si="8"/>
        <v>0</v>
      </c>
      <c r="M38" s="52">
        <f t="shared" si="8"/>
        <v>4</v>
      </c>
      <c r="N38" s="52">
        <f t="shared" si="8"/>
        <v>9</v>
      </c>
      <c r="O38" s="52">
        <f t="shared" si="8"/>
        <v>0</v>
      </c>
      <c r="P38" s="32"/>
      <c r="Q38" s="75"/>
      <c r="R38" s="45">
        <f>SUM(R35:R37)</f>
        <v>3220</v>
      </c>
    </row>
    <row r="39" spans="2:18" ht="51.75" customHeight="1">
      <c r="B39" s="53"/>
      <c r="C39" s="13" t="s">
        <v>61</v>
      </c>
      <c r="D39" s="431" t="s">
        <v>7</v>
      </c>
      <c r="E39" s="14" t="s">
        <v>58</v>
      </c>
      <c r="F39" s="173" t="s">
        <v>8</v>
      </c>
      <c r="G39" s="12"/>
      <c r="H39" s="13"/>
      <c r="I39" s="185"/>
      <c r="J39" s="12"/>
      <c r="K39" s="13"/>
      <c r="L39" s="185"/>
      <c r="M39" s="12"/>
      <c r="N39" s="13"/>
      <c r="O39" s="185"/>
      <c r="P39" s="347">
        <f>SUM(G39:O39)</f>
        <v>0</v>
      </c>
      <c r="Q39" s="77">
        <f>Composição!G94</f>
        <v>103.30406</v>
      </c>
      <c r="R39" s="39">
        <f>Q39*P39</f>
        <v>0</v>
      </c>
    </row>
    <row r="40" spans="2:25" ht="24.75" customHeight="1" thickBot="1">
      <c r="B40" s="47"/>
      <c r="C40" s="20" t="s">
        <v>241</v>
      </c>
      <c r="D40" s="432"/>
      <c r="E40" s="11" t="s">
        <v>266</v>
      </c>
      <c r="F40" s="174" t="s">
        <v>8</v>
      </c>
      <c r="G40" s="15"/>
      <c r="H40" s="10"/>
      <c r="I40" s="186"/>
      <c r="J40" s="15"/>
      <c r="K40" s="10"/>
      <c r="L40" s="186"/>
      <c r="M40" s="15">
        <v>66</v>
      </c>
      <c r="N40" s="10"/>
      <c r="O40" s="186"/>
      <c r="P40" s="347">
        <f>SUM(G40:O40)</f>
        <v>66</v>
      </c>
      <c r="Q40" s="79">
        <v>540.87</v>
      </c>
      <c r="R40" s="63">
        <f>P40*Q40</f>
        <v>35697.42</v>
      </c>
      <c r="Y40" s="148">
        <f>Y6+Y16+Y19+Y25+Y29+Y33+Y37</f>
        <v>271143.71596</v>
      </c>
    </row>
    <row r="41" spans="2:18" ht="24.75" customHeight="1">
      <c r="B41" s="47"/>
      <c r="C41" s="10" t="s">
        <v>61</v>
      </c>
      <c r="D41" s="432"/>
      <c r="E41" s="11" t="s">
        <v>48</v>
      </c>
      <c r="F41" s="174" t="s">
        <v>8</v>
      </c>
      <c r="G41" s="15">
        <v>84</v>
      </c>
      <c r="H41" s="10">
        <v>144</v>
      </c>
      <c r="I41" s="186">
        <v>0</v>
      </c>
      <c r="J41" s="15">
        <v>168</v>
      </c>
      <c r="K41" s="10">
        <v>408</v>
      </c>
      <c r="L41" s="186">
        <v>0</v>
      </c>
      <c r="M41" s="15">
        <v>78</v>
      </c>
      <c r="N41" s="10">
        <v>216</v>
      </c>
      <c r="O41" s="186">
        <v>0</v>
      </c>
      <c r="P41" s="347">
        <f>SUM(G41:O41)</f>
        <v>1098</v>
      </c>
      <c r="Q41" s="79">
        <f>Composição!G103</f>
        <v>64.99726000000001</v>
      </c>
      <c r="R41" s="63">
        <f>P41*Q41</f>
        <v>71366.99148000001</v>
      </c>
    </row>
    <row r="42" spans="2:18" ht="24.75" customHeight="1">
      <c r="B42" s="47"/>
      <c r="C42" s="10" t="s">
        <v>253</v>
      </c>
      <c r="D42" s="432"/>
      <c r="E42" s="11" t="s">
        <v>49</v>
      </c>
      <c r="F42" s="174" t="s">
        <v>8</v>
      </c>
      <c r="G42" s="15"/>
      <c r="H42" s="10"/>
      <c r="I42" s="186"/>
      <c r="J42" s="15"/>
      <c r="K42" s="10"/>
      <c r="L42" s="186"/>
      <c r="M42" s="15"/>
      <c r="N42" s="10"/>
      <c r="O42" s="186"/>
      <c r="P42" s="347">
        <f>SUM(G42:O42)</f>
        <v>0</v>
      </c>
      <c r="Q42" s="79">
        <v>221.24</v>
      </c>
      <c r="R42" s="63">
        <f>P42*Q42</f>
        <v>0</v>
      </c>
    </row>
    <row r="43" spans="2:18" ht="24.75" customHeight="1" thickBot="1">
      <c r="B43" s="16"/>
      <c r="C43" s="20" t="s">
        <v>29</v>
      </c>
      <c r="D43" s="433"/>
      <c r="E43" s="18" t="s">
        <v>50</v>
      </c>
      <c r="F43" s="189" t="s">
        <v>8</v>
      </c>
      <c r="G43" s="40"/>
      <c r="H43" s="20"/>
      <c r="I43" s="190"/>
      <c r="J43" s="40"/>
      <c r="K43" s="20"/>
      <c r="L43" s="190"/>
      <c r="M43" s="40"/>
      <c r="N43" s="20"/>
      <c r="O43" s="190"/>
      <c r="P43" s="347">
        <f>SUM(G43:O43)</f>
        <v>0</v>
      </c>
      <c r="Q43" s="76">
        <v>30</v>
      </c>
      <c r="R43" s="63">
        <f>P43*Q43</f>
        <v>0</v>
      </c>
    </row>
    <row r="44" spans="2:18" ht="24.75" customHeight="1" thickBot="1">
      <c r="B44" s="49"/>
      <c r="C44" s="50"/>
      <c r="D44" s="51"/>
      <c r="E44" s="36"/>
      <c r="F44" s="52"/>
      <c r="G44" s="52">
        <f>SUM(G39:G43)</f>
        <v>84</v>
      </c>
      <c r="H44" s="52">
        <f aca="true" t="shared" si="9" ref="H44:O44">SUM(H39:H43)</f>
        <v>144</v>
      </c>
      <c r="I44" s="52">
        <f t="shared" si="9"/>
        <v>0</v>
      </c>
      <c r="J44" s="52">
        <f t="shared" si="9"/>
        <v>168</v>
      </c>
      <c r="K44" s="52">
        <f t="shared" si="9"/>
        <v>408</v>
      </c>
      <c r="L44" s="52">
        <f t="shared" si="9"/>
        <v>0</v>
      </c>
      <c r="M44" s="52">
        <f>SUM(M41:M43)</f>
        <v>78</v>
      </c>
      <c r="N44" s="52">
        <f t="shared" si="9"/>
        <v>216</v>
      </c>
      <c r="O44" s="52">
        <f t="shared" si="9"/>
        <v>0</v>
      </c>
      <c r="P44" s="32"/>
      <c r="Q44" s="75"/>
      <c r="R44" s="45">
        <f>SUM(R39:R43)</f>
        <v>107064.41148000001</v>
      </c>
    </row>
    <row r="45" spans="2:18" ht="24.75" customHeight="1">
      <c r="B45" s="12"/>
      <c r="C45" s="13" t="s">
        <v>245</v>
      </c>
      <c r="D45" s="431" t="s">
        <v>30</v>
      </c>
      <c r="E45" s="14" t="s">
        <v>31</v>
      </c>
      <c r="F45" s="173" t="s">
        <v>1</v>
      </c>
      <c r="G45" s="12"/>
      <c r="H45" s="13"/>
      <c r="I45" s="185"/>
      <c r="J45" s="12"/>
      <c r="K45" s="13"/>
      <c r="L45" s="185"/>
      <c r="M45" s="12">
        <v>858</v>
      </c>
      <c r="N45" s="13"/>
      <c r="O45" s="185"/>
      <c r="P45" s="216">
        <f>SUM(G45:O45)</f>
        <v>858</v>
      </c>
      <c r="Q45" s="77">
        <v>7.72</v>
      </c>
      <c r="R45" s="63">
        <f>P45*Q45</f>
        <v>6623.76</v>
      </c>
    </row>
    <row r="46" spans="2:18" ht="24.75" customHeight="1">
      <c r="B46" s="15"/>
      <c r="C46" s="10" t="s">
        <v>246</v>
      </c>
      <c r="D46" s="432"/>
      <c r="E46" s="11" t="s">
        <v>32</v>
      </c>
      <c r="F46" s="174" t="s">
        <v>1</v>
      </c>
      <c r="G46" s="15"/>
      <c r="H46" s="10"/>
      <c r="I46" s="186"/>
      <c r="J46" s="15"/>
      <c r="K46" s="10"/>
      <c r="L46" s="186"/>
      <c r="M46" s="15"/>
      <c r="N46" s="10"/>
      <c r="O46" s="186"/>
      <c r="P46" s="216">
        <f>SUM(G46:O46)</f>
        <v>0</v>
      </c>
      <c r="Q46" s="79">
        <v>6.61</v>
      </c>
      <c r="R46" s="63">
        <f>P46*Q46</f>
        <v>0</v>
      </c>
    </row>
    <row r="47" spans="2:18" ht="24.75" customHeight="1" thickBot="1">
      <c r="B47" s="15"/>
      <c r="C47" s="10" t="s">
        <v>61</v>
      </c>
      <c r="D47" s="432"/>
      <c r="E47" s="11" t="s">
        <v>47</v>
      </c>
      <c r="F47" s="174" t="s">
        <v>1</v>
      </c>
      <c r="G47" s="40">
        <v>560</v>
      </c>
      <c r="H47" s="20">
        <v>960</v>
      </c>
      <c r="I47" s="190">
        <v>0</v>
      </c>
      <c r="J47" s="40">
        <v>1120</v>
      </c>
      <c r="K47" s="20">
        <v>2720</v>
      </c>
      <c r="L47" s="190">
        <v>0</v>
      </c>
      <c r="M47" s="40">
        <v>1220</v>
      </c>
      <c r="N47" s="20">
        <v>1360</v>
      </c>
      <c r="O47" s="190">
        <v>0</v>
      </c>
      <c r="P47" s="216">
        <f>SUM(G47:O47)</f>
        <v>7940</v>
      </c>
      <c r="Q47" s="79">
        <f>Composição!G107</f>
        <v>1.7485</v>
      </c>
      <c r="R47" s="63">
        <f>P47*Q47</f>
        <v>13883.09</v>
      </c>
    </row>
    <row r="48" spans="2:18" ht="24.75" customHeight="1" thickBot="1">
      <c r="B48" s="54"/>
      <c r="C48" s="55"/>
      <c r="D48" s="56"/>
      <c r="E48" s="37"/>
      <c r="F48" s="57"/>
      <c r="G48" s="57">
        <f>SUM(G45:G47)</f>
        <v>560</v>
      </c>
      <c r="H48" s="57">
        <f aca="true" t="shared" si="10" ref="H48:O48">SUM(H45:H47)</f>
        <v>960</v>
      </c>
      <c r="I48" s="57">
        <f t="shared" si="10"/>
        <v>0</v>
      </c>
      <c r="J48" s="57">
        <f t="shared" si="10"/>
        <v>1120</v>
      </c>
      <c r="K48" s="57">
        <f t="shared" si="10"/>
        <v>2720</v>
      </c>
      <c r="L48" s="57">
        <f t="shared" si="10"/>
        <v>0</v>
      </c>
      <c r="M48" s="57">
        <v>1220</v>
      </c>
      <c r="N48" s="57">
        <f t="shared" si="10"/>
        <v>1360</v>
      </c>
      <c r="O48" s="57">
        <f t="shared" si="10"/>
        <v>0</v>
      </c>
      <c r="P48" s="31"/>
      <c r="Q48" s="78"/>
      <c r="R48" s="34">
        <f>SUM(R45:R47)</f>
        <v>20506.85</v>
      </c>
    </row>
    <row r="49" spans="2:18" ht="24.75" customHeight="1">
      <c r="B49" s="171"/>
      <c r="C49" s="12" t="s">
        <v>244</v>
      </c>
      <c r="D49" s="431" t="s">
        <v>9</v>
      </c>
      <c r="E49" s="14" t="s">
        <v>33</v>
      </c>
      <c r="F49" s="173" t="s">
        <v>5</v>
      </c>
      <c r="G49" s="12"/>
      <c r="H49" s="13"/>
      <c r="I49" s="185"/>
      <c r="J49" s="12"/>
      <c r="K49" s="13"/>
      <c r="L49" s="185"/>
      <c r="M49" s="12"/>
      <c r="N49" s="13"/>
      <c r="O49" s="185"/>
      <c r="P49" s="218"/>
      <c r="Q49" s="80"/>
      <c r="R49" s="39"/>
    </row>
    <row r="50" spans="2:18" ht="24.75" customHeight="1">
      <c r="B50" s="172"/>
      <c r="C50" s="15" t="s">
        <v>244</v>
      </c>
      <c r="D50" s="432"/>
      <c r="E50" s="11" t="s">
        <v>34</v>
      </c>
      <c r="F50" s="174" t="s">
        <v>5</v>
      </c>
      <c r="G50" s="15"/>
      <c r="H50" s="10"/>
      <c r="I50" s="186"/>
      <c r="J50" s="15"/>
      <c r="K50" s="10"/>
      <c r="L50" s="186"/>
      <c r="M50" s="15"/>
      <c r="N50" s="10"/>
      <c r="O50" s="186"/>
      <c r="P50" s="348"/>
      <c r="Q50" s="81"/>
      <c r="R50" s="63"/>
    </row>
    <row r="51" spans="2:18" ht="24.75" customHeight="1">
      <c r="B51" s="172"/>
      <c r="C51" s="15" t="s">
        <v>254</v>
      </c>
      <c r="D51" s="432"/>
      <c r="E51" s="11" t="s">
        <v>35</v>
      </c>
      <c r="F51" s="174" t="s">
        <v>1</v>
      </c>
      <c r="G51" s="15"/>
      <c r="H51" s="10"/>
      <c r="I51" s="186"/>
      <c r="J51" s="15"/>
      <c r="K51" s="10"/>
      <c r="L51" s="186"/>
      <c r="M51" s="15"/>
      <c r="N51" s="10"/>
      <c r="O51" s="186"/>
      <c r="P51" s="348"/>
      <c r="Q51" s="81"/>
      <c r="R51" s="63"/>
    </row>
    <row r="52" spans="2:18" ht="24.75" customHeight="1">
      <c r="B52" s="172"/>
      <c r="C52" s="15" t="s">
        <v>244</v>
      </c>
      <c r="D52" s="432"/>
      <c r="E52" s="11" t="s">
        <v>55</v>
      </c>
      <c r="F52" s="174" t="s">
        <v>5</v>
      </c>
      <c r="G52" s="15"/>
      <c r="H52" s="10"/>
      <c r="I52" s="186"/>
      <c r="J52" s="15"/>
      <c r="K52" s="10"/>
      <c r="L52" s="186"/>
      <c r="M52" s="15"/>
      <c r="N52" s="10"/>
      <c r="O52" s="186"/>
      <c r="P52" s="348"/>
      <c r="Q52" s="81"/>
      <c r="R52" s="63"/>
    </row>
    <row r="53" spans="2:18" ht="24.75" customHeight="1">
      <c r="B53" s="172"/>
      <c r="C53" s="15" t="s">
        <v>244</v>
      </c>
      <c r="D53" s="432"/>
      <c r="E53" s="11" t="s">
        <v>56</v>
      </c>
      <c r="F53" s="174" t="s">
        <v>1</v>
      </c>
      <c r="G53" s="15"/>
      <c r="H53" s="10"/>
      <c r="I53" s="186"/>
      <c r="J53" s="15"/>
      <c r="K53" s="10"/>
      <c r="L53" s="186"/>
      <c r="M53" s="15"/>
      <c r="N53" s="10"/>
      <c r="O53" s="186"/>
      <c r="P53" s="348"/>
      <c r="Q53" s="81"/>
      <c r="R53" s="63"/>
    </row>
    <row r="54" spans="2:18" ht="24.75" customHeight="1">
      <c r="B54" s="220"/>
      <c r="C54" s="15" t="s">
        <v>244</v>
      </c>
      <c r="D54" s="434"/>
      <c r="E54" s="11" t="s">
        <v>274</v>
      </c>
      <c r="F54" s="345" t="s">
        <v>57</v>
      </c>
      <c r="G54" s="48">
        <v>1</v>
      </c>
      <c r="H54" s="43"/>
      <c r="I54" s="346"/>
      <c r="J54" s="48"/>
      <c r="K54" s="43"/>
      <c r="L54" s="346"/>
      <c r="M54" s="48"/>
      <c r="N54" s="43"/>
      <c r="O54" s="346">
        <v>1</v>
      </c>
      <c r="P54" s="349">
        <f>SUM(G54:O54)</f>
        <v>2</v>
      </c>
      <c r="Q54" s="82">
        <v>2500</v>
      </c>
      <c r="R54" s="64">
        <f>P54*Q54</f>
        <v>5000</v>
      </c>
    </row>
    <row r="55" spans="2:18" ht="24.75" customHeight="1" thickBot="1">
      <c r="B55" s="221"/>
      <c r="C55" s="40" t="s">
        <v>244</v>
      </c>
      <c r="D55" s="433"/>
      <c r="E55" s="61" t="s">
        <v>275</v>
      </c>
      <c r="F55" s="189" t="s">
        <v>57</v>
      </c>
      <c r="G55" s="40">
        <v>1</v>
      </c>
      <c r="H55" s="20"/>
      <c r="I55" s="190"/>
      <c r="J55" s="40"/>
      <c r="K55" s="20"/>
      <c r="L55" s="190"/>
      <c r="M55" s="40"/>
      <c r="N55" s="20"/>
      <c r="O55" s="190"/>
      <c r="P55" s="350">
        <f>SUM(G55:O55)</f>
        <v>1</v>
      </c>
      <c r="Q55" s="83">
        <v>15000</v>
      </c>
      <c r="R55" s="65">
        <f>P55*Q55</f>
        <v>15000</v>
      </c>
    </row>
    <row r="56" spans="2:18" ht="24.75" customHeight="1">
      <c r="B56" s="52"/>
      <c r="C56" s="50"/>
      <c r="D56" s="51"/>
      <c r="E56" s="36"/>
      <c r="F56" s="52"/>
      <c r="G56" s="52">
        <f>SUM(G49:G55)</f>
        <v>2</v>
      </c>
      <c r="H56" s="52">
        <f aca="true" t="shared" si="11" ref="H56:O56">SUM(H49:H55)</f>
        <v>0</v>
      </c>
      <c r="I56" s="52">
        <f t="shared" si="11"/>
        <v>0</v>
      </c>
      <c r="J56" s="52">
        <f t="shared" si="11"/>
        <v>0</v>
      </c>
      <c r="K56" s="52">
        <f t="shared" si="11"/>
        <v>0</v>
      </c>
      <c r="L56" s="52">
        <f t="shared" si="11"/>
        <v>0</v>
      </c>
      <c r="M56" s="52">
        <f t="shared" si="11"/>
        <v>0</v>
      </c>
      <c r="N56" s="52">
        <f t="shared" si="11"/>
        <v>0</v>
      </c>
      <c r="O56" s="52">
        <f t="shared" si="11"/>
        <v>1</v>
      </c>
      <c r="P56" s="32"/>
      <c r="Q56" s="75"/>
      <c r="R56" s="58">
        <f>SUM(R49:R55)</f>
        <v>20000</v>
      </c>
    </row>
    <row r="57" spans="2:18" ht="24.75" customHeight="1">
      <c r="B57" s="52"/>
      <c r="C57" s="51"/>
      <c r="D57" s="51"/>
      <c r="E57" s="36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32"/>
      <c r="Q57" s="75"/>
      <c r="R57" s="408">
        <f>R20+R27+R31+R38+R44+R48+R56</f>
        <v>271143.71596</v>
      </c>
    </row>
  </sheetData>
  <sheetProtection/>
  <mergeCells count="16">
    <mergeCell ref="D22:D26"/>
    <mergeCell ref="B1:R1"/>
    <mergeCell ref="B2:R2"/>
    <mergeCell ref="B6:C6"/>
    <mergeCell ref="J3:L3"/>
    <mergeCell ref="M3:O3"/>
    <mergeCell ref="D39:D43"/>
    <mergeCell ref="D45:D47"/>
    <mergeCell ref="D49:D55"/>
    <mergeCell ref="G3:I3"/>
    <mergeCell ref="D28:D30"/>
    <mergeCell ref="D32:D33"/>
    <mergeCell ref="D35:D37"/>
    <mergeCell ref="D7:D10"/>
    <mergeCell ref="D12:D19"/>
    <mergeCell ref="B21:R21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zoomScale="65" zoomScaleNormal="65" zoomScalePageLayoutView="0" workbookViewId="0" topLeftCell="A29">
      <selection activeCell="G56" sqref="G56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15.00390625" style="0" bestFit="1" customWidth="1"/>
    <col min="4" max="4" width="26.8515625" style="0" customWidth="1"/>
    <col min="5" max="5" width="71.57421875" style="35" customWidth="1"/>
    <col min="6" max="6" width="7.00390625" style="2" bestFit="1" customWidth="1"/>
    <col min="7" max="9" width="10.140625" style="2" bestFit="1" customWidth="1"/>
    <col min="10" max="10" width="10.421875" style="2" bestFit="1" customWidth="1"/>
    <col min="11" max="11" width="10.140625" style="2" bestFit="1" customWidth="1"/>
    <col min="12" max="12" width="10.421875" style="2" bestFit="1" customWidth="1"/>
    <col min="13" max="13" width="11.57421875" style="1" customWidth="1"/>
    <col min="14" max="14" width="16.140625" style="74" hidden="1" customWidth="1"/>
    <col min="15" max="15" width="23.421875" style="1" hidden="1" customWidth="1"/>
    <col min="16" max="16" width="5.57421875" style="0" customWidth="1"/>
    <col min="17" max="17" width="4.140625" style="0" customWidth="1"/>
    <col min="18" max="18" width="26.140625" style="0" customWidth="1"/>
    <col min="19" max="20" width="11.7109375" style="0" bestFit="1" customWidth="1"/>
    <col min="21" max="21" width="11.57421875" style="0" bestFit="1" customWidth="1"/>
    <col min="22" max="22" width="12.421875" style="0" bestFit="1" customWidth="1"/>
    <col min="25" max="25" width="11.28125" style="0" bestFit="1" customWidth="1"/>
  </cols>
  <sheetData>
    <row r="1" spans="2:15" ht="23.25" customHeight="1">
      <c r="B1" s="450" t="s">
        <v>255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2"/>
    </row>
    <row r="2" spans="1:35" ht="23.25" customHeight="1" thickBot="1">
      <c r="A2" s="4"/>
      <c r="B2" s="453" t="s">
        <v>256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5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3.25" customHeight="1">
      <c r="A3" s="4"/>
      <c r="B3" s="90"/>
      <c r="C3" s="91"/>
      <c r="D3" s="91"/>
      <c r="E3" s="91"/>
      <c r="F3" s="91"/>
      <c r="G3" s="435" t="s">
        <v>257</v>
      </c>
      <c r="H3" s="436"/>
      <c r="I3" s="435" t="s">
        <v>258</v>
      </c>
      <c r="J3" s="436"/>
      <c r="K3" s="435" t="s">
        <v>259</v>
      </c>
      <c r="L3" s="436"/>
      <c r="M3" s="209" t="s">
        <v>263</v>
      </c>
      <c r="N3" s="91"/>
      <c r="O3" s="92"/>
      <c r="P3" s="4"/>
      <c r="Q3" s="4"/>
      <c r="R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23.25" customHeight="1">
      <c r="A4" s="4"/>
      <c r="B4" s="90"/>
      <c r="C4" s="91"/>
      <c r="D4" s="91"/>
      <c r="E4" s="91"/>
      <c r="F4" s="91"/>
      <c r="G4" s="202" t="s">
        <v>260</v>
      </c>
      <c r="H4" s="201" t="s">
        <v>261</v>
      </c>
      <c r="I4" s="202" t="s">
        <v>260</v>
      </c>
      <c r="J4" s="201" t="s">
        <v>261</v>
      </c>
      <c r="K4" s="202" t="s">
        <v>260</v>
      </c>
      <c r="L4" s="201" t="s">
        <v>261</v>
      </c>
      <c r="M4" s="210" t="s">
        <v>77</v>
      </c>
      <c r="N4" s="91"/>
      <c r="O4" s="92"/>
      <c r="P4" s="4"/>
      <c r="Q4" s="4"/>
      <c r="R4" s="4"/>
      <c r="S4" s="121"/>
      <c r="T4" s="121"/>
      <c r="U4" s="121"/>
      <c r="V4" s="12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23.25" customHeight="1" thickBot="1">
      <c r="A5" s="4"/>
      <c r="B5" s="90"/>
      <c r="C5" s="91"/>
      <c r="D5" s="91"/>
      <c r="E5" s="91" t="s">
        <v>264</v>
      </c>
      <c r="F5" s="91"/>
      <c r="G5" s="204">
        <v>0.28</v>
      </c>
      <c r="H5" s="205">
        <v>0.48</v>
      </c>
      <c r="I5" s="204">
        <v>0.56</v>
      </c>
      <c r="J5" s="205">
        <v>1.36</v>
      </c>
      <c r="K5" s="204">
        <v>0.48</v>
      </c>
      <c r="L5" s="205">
        <v>0.72</v>
      </c>
      <c r="M5" s="211">
        <f>SUM(G5:L5)</f>
        <v>3.88</v>
      </c>
      <c r="N5" s="217" t="s">
        <v>181</v>
      </c>
      <c r="O5" s="219"/>
      <c r="P5" s="4"/>
      <c r="Q5" s="4"/>
      <c r="R5" s="333"/>
      <c r="S5" s="334"/>
      <c r="T5" s="334"/>
      <c r="U5" s="334"/>
      <c r="V5" s="33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22" s="3" customFormat="1" ht="44.25" customHeight="1" thickBot="1">
      <c r="B6" s="456" t="s">
        <v>45</v>
      </c>
      <c r="C6" s="457"/>
      <c r="D6" s="86" t="s">
        <v>36</v>
      </c>
      <c r="E6" s="87" t="s">
        <v>37</v>
      </c>
      <c r="F6" s="212" t="s">
        <v>11</v>
      </c>
      <c r="G6" s="196"/>
      <c r="H6" s="194"/>
      <c r="I6" s="88"/>
      <c r="J6" s="89"/>
      <c r="K6" s="88"/>
      <c r="L6" s="89"/>
      <c r="M6" s="370" t="s">
        <v>12</v>
      </c>
      <c r="N6" s="213" t="s">
        <v>13</v>
      </c>
      <c r="O6" s="214" t="s">
        <v>14</v>
      </c>
      <c r="R6" s="335"/>
      <c r="S6" s="336"/>
      <c r="T6" s="336"/>
      <c r="U6" s="336"/>
      <c r="V6" s="336"/>
    </row>
    <row r="7" spans="2:22" ht="24.75" customHeight="1" hidden="1">
      <c r="B7" s="12"/>
      <c r="C7" s="13" t="s">
        <v>16</v>
      </c>
      <c r="D7" s="441" t="s">
        <v>17</v>
      </c>
      <c r="E7" s="14" t="s">
        <v>44</v>
      </c>
      <c r="F7" s="173" t="s">
        <v>15</v>
      </c>
      <c r="G7" s="15"/>
      <c r="H7" s="10"/>
      <c r="I7" s="15"/>
      <c r="J7" s="10"/>
      <c r="K7" s="15"/>
      <c r="L7" s="10"/>
      <c r="M7" s="181"/>
      <c r="N7" s="66">
        <v>3000</v>
      </c>
      <c r="O7" s="5"/>
      <c r="V7" s="102"/>
    </row>
    <row r="8" spans="2:22" ht="24.75" customHeight="1" hidden="1">
      <c r="B8" s="15"/>
      <c r="C8" s="10" t="s">
        <v>38</v>
      </c>
      <c r="D8" s="442"/>
      <c r="E8" s="11" t="s">
        <v>39</v>
      </c>
      <c r="F8" s="174"/>
      <c r="G8" s="15"/>
      <c r="H8" s="10"/>
      <c r="I8" s="15"/>
      <c r="J8" s="10"/>
      <c r="K8" s="15"/>
      <c r="L8" s="10"/>
      <c r="M8" s="182"/>
      <c r="N8" s="62"/>
      <c r="O8" s="6"/>
      <c r="V8" s="102"/>
    </row>
    <row r="9" spans="2:22" ht="24.75" customHeight="1" hidden="1">
      <c r="B9" s="15"/>
      <c r="C9" s="10" t="s">
        <v>40</v>
      </c>
      <c r="D9" s="442"/>
      <c r="E9" s="11" t="s">
        <v>41</v>
      </c>
      <c r="F9" s="174"/>
      <c r="G9" s="15"/>
      <c r="H9" s="10"/>
      <c r="I9" s="15"/>
      <c r="J9" s="10"/>
      <c r="K9" s="15"/>
      <c r="L9" s="10"/>
      <c r="M9" s="182"/>
      <c r="N9" s="62"/>
      <c r="O9" s="6"/>
      <c r="V9" s="102"/>
    </row>
    <row r="10" spans="2:22" s="9" customFormat="1" ht="24.75" customHeight="1" hidden="1">
      <c r="B10" s="16"/>
      <c r="C10" s="17" t="s">
        <v>42</v>
      </c>
      <c r="D10" s="443"/>
      <c r="E10" s="18" t="s">
        <v>43</v>
      </c>
      <c r="F10" s="175"/>
      <c r="G10" s="197"/>
      <c r="H10" s="195"/>
      <c r="I10" s="197"/>
      <c r="J10" s="195"/>
      <c r="K10" s="197"/>
      <c r="L10" s="195"/>
      <c r="M10" s="183"/>
      <c r="N10" s="67"/>
      <c r="O10" s="19"/>
      <c r="V10" s="102"/>
    </row>
    <row r="11" spans="2:22" s="9" customFormat="1" ht="24.75" customHeight="1" hidden="1">
      <c r="B11" s="25"/>
      <c r="C11" s="26"/>
      <c r="D11" s="27"/>
      <c r="E11" s="28"/>
      <c r="F11" s="29"/>
      <c r="G11" s="197"/>
      <c r="H11" s="195"/>
      <c r="I11" s="197"/>
      <c r="J11" s="195"/>
      <c r="K11" s="197"/>
      <c r="L11" s="195"/>
      <c r="M11" s="30"/>
      <c r="N11" s="68"/>
      <c r="O11" s="34">
        <f>SUM(O7:O10)</f>
        <v>0</v>
      </c>
      <c r="V11" s="102"/>
    </row>
    <row r="12" spans="2:22" s="9" customFormat="1" ht="29.25" customHeight="1" thickBot="1">
      <c r="B12" s="12"/>
      <c r="C12" s="13" t="s">
        <v>61</v>
      </c>
      <c r="D12" s="444" t="s">
        <v>0</v>
      </c>
      <c r="E12" s="14" t="s">
        <v>51</v>
      </c>
      <c r="F12" s="176" t="s">
        <v>1</v>
      </c>
      <c r="G12" s="187">
        <v>2500</v>
      </c>
      <c r="H12" s="24">
        <v>3200</v>
      </c>
      <c r="I12" s="187">
        <v>2000</v>
      </c>
      <c r="J12" s="24">
        <v>3150</v>
      </c>
      <c r="K12" s="187">
        <v>2350</v>
      </c>
      <c r="L12" s="24">
        <v>2800</v>
      </c>
      <c r="M12" s="184">
        <f aca="true" t="shared" si="0" ref="M12:M19">SUM(G12:L12)</f>
        <v>16000</v>
      </c>
      <c r="N12" s="69">
        <v>0.26</v>
      </c>
      <c r="O12" s="23">
        <f>M12*N12</f>
        <v>4160</v>
      </c>
      <c r="V12" s="102"/>
    </row>
    <row r="13" spans="2:22" s="9" customFormat="1" ht="45.75" thickBot="1">
      <c r="B13" s="46"/>
      <c r="C13" s="41" t="s">
        <v>248</v>
      </c>
      <c r="D13" s="445"/>
      <c r="E13" s="42" t="s">
        <v>52</v>
      </c>
      <c r="F13" s="177" t="s">
        <v>1</v>
      </c>
      <c r="G13" s="187">
        <v>1250</v>
      </c>
      <c r="H13" s="24">
        <v>1200</v>
      </c>
      <c r="I13" s="187">
        <v>1500</v>
      </c>
      <c r="J13" s="24">
        <v>2300</v>
      </c>
      <c r="K13" s="187">
        <v>1300</v>
      </c>
      <c r="L13" s="24">
        <v>2350</v>
      </c>
      <c r="M13" s="184">
        <f t="shared" si="0"/>
        <v>9900</v>
      </c>
      <c r="N13" s="69">
        <v>0.34</v>
      </c>
      <c r="O13" s="23">
        <f aca="true" t="shared" si="1" ref="O13:O18">M13*N13</f>
        <v>3366.0000000000005</v>
      </c>
      <c r="R13" s="331"/>
      <c r="S13" s="371"/>
      <c r="T13" s="371"/>
      <c r="U13" s="371"/>
      <c r="V13" s="102"/>
    </row>
    <row r="14" spans="2:22" s="9" customFormat="1" ht="42" customHeight="1" thickBot="1">
      <c r="B14" s="47"/>
      <c r="C14" s="10" t="s">
        <v>61</v>
      </c>
      <c r="D14" s="445"/>
      <c r="E14" s="11" t="s">
        <v>59</v>
      </c>
      <c r="F14" s="178" t="s">
        <v>8</v>
      </c>
      <c r="G14" s="187">
        <v>1064</v>
      </c>
      <c r="H14" s="24">
        <v>2880</v>
      </c>
      <c r="I14" s="187">
        <v>1792</v>
      </c>
      <c r="J14" s="24">
        <v>5712</v>
      </c>
      <c r="K14" s="187">
        <v>1682</v>
      </c>
      <c r="L14" s="24">
        <v>3116</v>
      </c>
      <c r="M14" s="184">
        <f t="shared" si="0"/>
        <v>16246</v>
      </c>
      <c r="N14" s="69">
        <v>2.15</v>
      </c>
      <c r="O14" s="23">
        <f t="shared" si="1"/>
        <v>34928.9</v>
      </c>
      <c r="R14" s="333"/>
      <c r="S14" s="337"/>
      <c r="T14" s="337"/>
      <c r="U14" s="337"/>
      <c r="V14" s="338"/>
    </row>
    <row r="15" spans="2:22" s="9" customFormat="1" ht="24.75" customHeight="1" hidden="1" thickBot="1">
      <c r="B15" s="15"/>
      <c r="C15" s="10" t="s">
        <v>19</v>
      </c>
      <c r="D15" s="445"/>
      <c r="E15" s="11" t="s">
        <v>18</v>
      </c>
      <c r="F15" s="178" t="s">
        <v>8</v>
      </c>
      <c r="G15" s="187"/>
      <c r="H15" s="24"/>
      <c r="I15" s="187"/>
      <c r="J15" s="24"/>
      <c r="K15" s="187"/>
      <c r="L15" s="24"/>
      <c r="M15" s="184">
        <f t="shared" si="0"/>
        <v>0</v>
      </c>
      <c r="N15" s="69"/>
      <c r="O15" s="23">
        <f t="shared" si="1"/>
        <v>0</v>
      </c>
      <c r="R15" s="331"/>
      <c r="V15" s="338"/>
    </row>
    <row r="16" spans="2:22" s="21" customFormat="1" ht="30" customHeight="1" thickBot="1">
      <c r="B16" s="15"/>
      <c r="C16" s="10" t="s">
        <v>65</v>
      </c>
      <c r="D16" s="445"/>
      <c r="E16" s="11" t="s">
        <v>66</v>
      </c>
      <c r="F16" s="178" t="s">
        <v>1</v>
      </c>
      <c r="G16" s="187">
        <v>2800</v>
      </c>
      <c r="H16" s="24">
        <v>4800</v>
      </c>
      <c r="I16" s="187">
        <v>5600</v>
      </c>
      <c r="J16" s="24">
        <v>13600</v>
      </c>
      <c r="K16" s="187">
        <v>4400</v>
      </c>
      <c r="L16" s="24">
        <v>5800</v>
      </c>
      <c r="M16" s="184">
        <f t="shared" si="0"/>
        <v>37000</v>
      </c>
      <c r="N16" s="69">
        <v>0.16</v>
      </c>
      <c r="O16" s="23">
        <f t="shared" si="1"/>
        <v>5920</v>
      </c>
      <c r="S16" s="340"/>
      <c r="T16" s="340"/>
      <c r="U16" s="340"/>
      <c r="V16" s="372"/>
    </row>
    <row r="17" spans="2:22" s="21" customFormat="1" ht="33.75" customHeight="1" thickBot="1">
      <c r="B17" s="15"/>
      <c r="C17" s="10" t="s">
        <v>60</v>
      </c>
      <c r="D17" s="445"/>
      <c r="E17" s="11" t="s">
        <v>64</v>
      </c>
      <c r="F17" s="178" t="s">
        <v>1</v>
      </c>
      <c r="G17" s="187">
        <v>1604</v>
      </c>
      <c r="H17" s="24">
        <v>2880</v>
      </c>
      <c r="I17" s="187">
        <v>1792</v>
      </c>
      <c r="J17" s="24">
        <v>5712</v>
      </c>
      <c r="K17" s="187">
        <v>1627</v>
      </c>
      <c r="L17" s="24">
        <v>3116</v>
      </c>
      <c r="M17" s="184">
        <f t="shared" si="0"/>
        <v>16731</v>
      </c>
      <c r="N17" s="69">
        <v>1.09</v>
      </c>
      <c r="O17" s="23">
        <f t="shared" si="1"/>
        <v>18236.79</v>
      </c>
      <c r="R17" s="331"/>
      <c r="S17" s="9"/>
      <c r="T17" s="9"/>
      <c r="U17" s="9"/>
      <c r="V17" s="102"/>
    </row>
    <row r="18" spans="2:22" s="22" customFormat="1" ht="24.75" customHeight="1" thickBot="1">
      <c r="B18" s="48"/>
      <c r="C18" s="43" t="s">
        <v>63</v>
      </c>
      <c r="D18" s="445"/>
      <c r="E18" s="44" t="s">
        <v>54</v>
      </c>
      <c r="F18" s="179" t="s">
        <v>53</v>
      </c>
      <c r="G18" s="188">
        <v>150</v>
      </c>
      <c r="H18" s="62">
        <v>230</v>
      </c>
      <c r="I18" s="188">
        <v>275</v>
      </c>
      <c r="J18" s="62">
        <v>150</v>
      </c>
      <c r="K18" s="188">
        <v>125</v>
      </c>
      <c r="L18" s="62">
        <v>240</v>
      </c>
      <c r="M18" s="184">
        <f t="shared" si="0"/>
        <v>1170</v>
      </c>
      <c r="N18" s="62">
        <v>2.22</v>
      </c>
      <c r="O18" s="23">
        <f t="shared" si="1"/>
        <v>2597.4</v>
      </c>
      <c r="R18" s="333"/>
      <c r="S18" s="339"/>
      <c r="T18" s="339"/>
      <c r="U18" s="339"/>
      <c r="V18" s="339"/>
    </row>
    <row r="19" spans="2:22" s="22" customFormat="1" ht="24.75" customHeight="1" thickBot="1">
      <c r="B19" s="59"/>
      <c r="C19" s="60"/>
      <c r="D19" s="446"/>
      <c r="E19" s="61"/>
      <c r="F19" s="180"/>
      <c r="G19" s="199"/>
      <c r="H19" s="70"/>
      <c r="I19" s="199"/>
      <c r="J19" s="70"/>
      <c r="K19" s="199"/>
      <c r="L19" s="70"/>
      <c r="M19" s="184">
        <f t="shared" si="0"/>
        <v>0</v>
      </c>
      <c r="N19" s="70"/>
      <c r="O19" s="19"/>
      <c r="R19" s="335"/>
      <c r="S19" s="340"/>
      <c r="T19" s="340"/>
      <c r="U19" s="340"/>
      <c r="V19" s="340"/>
    </row>
    <row r="20" spans="2:22" ht="24.75" customHeight="1" thickBot="1">
      <c r="B20" s="49"/>
      <c r="C20" s="50"/>
      <c r="D20" s="51"/>
      <c r="E20" s="36"/>
      <c r="F20" s="52"/>
      <c r="G20" s="330">
        <f aca="true" t="shared" si="2" ref="G20:L20">SUM(G12:G19)</f>
        <v>9368</v>
      </c>
      <c r="H20" s="330">
        <f t="shared" si="2"/>
        <v>15190</v>
      </c>
      <c r="I20" s="330">
        <f t="shared" si="2"/>
        <v>12959</v>
      </c>
      <c r="J20" s="330">
        <f t="shared" si="2"/>
        <v>30624</v>
      </c>
      <c r="K20" s="330">
        <f t="shared" si="2"/>
        <v>11484</v>
      </c>
      <c r="L20" s="330">
        <f t="shared" si="2"/>
        <v>17422</v>
      </c>
      <c r="M20" s="32"/>
      <c r="N20" s="75"/>
      <c r="O20" s="33">
        <f>SUM(O12:O19)</f>
        <v>69209.09</v>
      </c>
      <c r="R20" s="331"/>
      <c r="S20" s="9"/>
      <c r="T20" s="9"/>
      <c r="U20" s="9"/>
      <c r="V20" s="102"/>
    </row>
    <row r="21" spans="2:22" ht="24.75" customHeight="1" thickBot="1">
      <c r="B21" s="447" t="s">
        <v>2</v>
      </c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9"/>
      <c r="R21" s="333"/>
      <c r="S21" s="358"/>
      <c r="T21" s="358"/>
      <c r="U21" s="358"/>
      <c r="V21" s="339"/>
    </row>
    <row r="22" spans="2:25" ht="24.75" customHeight="1" thickBot="1">
      <c r="B22" s="53"/>
      <c r="C22" s="13" t="s">
        <v>61</v>
      </c>
      <c r="D22" s="431" t="s">
        <v>3</v>
      </c>
      <c r="E22" s="14" t="s">
        <v>4</v>
      </c>
      <c r="F22" s="173" t="s">
        <v>5</v>
      </c>
      <c r="G22" s="12">
        <v>240</v>
      </c>
      <c r="H22" s="13">
        <v>400</v>
      </c>
      <c r="I22" s="12">
        <v>320</v>
      </c>
      <c r="J22" s="13">
        <v>720</v>
      </c>
      <c r="K22" s="12">
        <v>200</v>
      </c>
      <c r="L22" s="13">
        <v>560</v>
      </c>
      <c r="M22" s="191">
        <f>SUM(G22:L22)</f>
        <v>2440</v>
      </c>
      <c r="N22" s="71">
        <f>Composição!E35</f>
        <v>4.887</v>
      </c>
      <c r="O22" s="7">
        <f>M22*N22</f>
        <v>11924.279999999999</v>
      </c>
      <c r="R22" s="335"/>
      <c r="S22" s="340"/>
      <c r="T22" s="340"/>
      <c r="U22" s="340"/>
      <c r="V22" s="340"/>
      <c r="Y22" s="413"/>
    </row>
    <row r="23" spans="2:22" ht="19.5" customHeight="1" hidden="1">
      <c r="B23" s="15">
        <v>3005</v>
      </c>
      <c r="C23" s="10" t="s">
        <v>21</v>
      </c>
      <c r="D23" s="432"/>
      <c r="E23" s="11" t="s">
        <v>20</v>
      </c>
      <c r="F23" s="174" t="s">
        <v>5</v>
      </c>
      <c r="G23" s="15"/>
      <c r="H23" s="10"/>
      <c r="I23" s="15"/>
      <c r="J23" s="10"/>
      <c r="K23" s="15"/>
      <c r="L23" s="10"/>
      <c r="M23" s="192"/>
      <c r="N23" s="72"/>
      <c r="O23" s="7">
        <f>M23*N23</f>
        <v>0</v>
      </c>
      <c r="V23" s="339"/>
    </row>
    <row r="24" spans="2:22" ht="24.75" customHeight="1" hidden="1" thickBot="1">
      <c r="B24" s="15">
        <v>3006</v>
      </c>
      <c r="C24" s="10" t="s">
        <v>21</v>
      </c>
      <c r="D24" s="432"/>
      <c r="E24" s="11" t="s">
        <v>22</v>
      </c>
      <c r="F24" s="174" t="s">
        <v>5</v>
      </c>
      <c r="G24" s="15"/>
      <c r="H24" s="10"/>
      <c r="I24" s="15"/>
      <c r="J24" s="10"/>
      <c r="K24" s="15"/>
      <c r="L24" s="10"/>
      <c r="M24" s="192"/>
      <c r="N24" s="72"/>
      <c r="O24" s="7">
        <f>M24*N24</f>
        <v>0</v>
      </c>
      <c r="V24" s="339"/>
    </row>
    <row r="25" spans="2:22" ht="24.75" customHeight="1" hidden="1" thickBot="1">
      <c r="B25" s="15">
        <v>3007</v>
      </c>
      <c r="C25" s="10" t="s">
        <v>21</v>
      </c>
      <c r="D25" s="432"/>
      <c r="E25" s="11" t="s">
        <v>23</v>
      </c>
      <c r="F25" s="174" t="s">
        <v>5</v>
      </c>
      <c r="G25" s="15"/>
      <c r="H25" s="10"/>
      <c r="I25" s="15"/>
      <c r="J25" s="10"/>
      <c r="K25" s="15"/>
      <c r="L25" s="10"/>
      <c r="M25" s="192"/>
      <c r="N25" s="72"/>
      <c r="O25" s="7">
        <f>M25*N25</f>
        <v>0</v>
      </c>
      <c r="S25" s="351"/>
      <c r="T25" s="351"/>
      <c r="U25" s="351"/>
      <c r="V25" s="340"/>
    </row>
    <row r="26" spans="2:25" ht="24.75" customHeight="1" thickBot="1">
      <c r="B26" s="40"/>
      <c r="C26" s="20" t="s">
        <v>243</v>
      </c>
      <c r="D26" s="433"/>
      <c r="E26" s="18" t="s">
        <v>98</v>
      </c>
      <c r="F26" s="189" t="s">
        <v>25</v>
      </c>
      <c r="G26" s="40"/>
      <c r="H26" s="20"/>
      <c r="I26" s="40"/>
      <c r="J26" s="20"/>
      <c r="K26" s="40"/>
      <c r="L26" s="20"/>
      <c r="M26" s="193"/>
      <c r="N26" s="73">
        <f>'Memorial '!L22</f>
        <v>1460.6299</v>
      </c>
      <c r="O26" s="7">
        <f>M26*N26</f>
        <v>0</v>
      </c>
      <c r="Y26" s="1"/>
    </row>
    <row r="27" spans="2:22" ht="24.75" customHeight="1" thickBot="1">
      <c r="B27" s="49"/>
      <c r="C27" s="50"/>
      <c r="D27" s="51"/>
      <c r="E27" s="36"/>
      <c r="F27" s="52"/>
      <c r="G27" s="52">
        <f aca="true" t="shared" si="3" ref="G27:L27">SUM(G22:G26)</f>
        <v>240</v>
      </c>
      <c r="H27" s="52">
        <f t="shared" si="3"/>
        <v>400</v>
      </c>
      <c r="I27" s="52">
        <f t="shared" si="3"/>
        <v>320</v>
      </c>
      <c r="J27" s="52">
        <f t="shared" si="3"/>
        <v>720</v>
      </c>
      <c r="K27" s="52">
        <f t="shared" si="3"/>
        <v>200</v>
      </c>
      <c r="L27" s="52">
        <f t="shared" si="3"/>
        <v>560</v>
      </c>
      <c r="M27" s="32"/>
      <c r="N27" s="75"/>
      <c r="O27" s="45">
        <f>SUM(O22:O26)</f>
        <v>11924.279999999999</v>
      </c>
      <c r="R27" s="332"/>
      <c r="S27" s="22"/>
      <c r="T27" s="22"/>
      <c r="U27" s="22"/>
      <c r="V27" s="22"/>
    </row>
    <row r="28" spans="2:22" ht="24.75" customHeight="1">
      <c r="B28" s="172"/>
      <c r="C28" s="12" t="s">
        <v>272</v>
      </c>
      <c r="D28" s="438" t="s">
        <v>24</v>
      </c>
      <c r="E28" s="14" t="s">
        <v>273</v>
      </c>
      <c r="F28" s="173" t="s">
        <v>5</v>
      </c>
      <c r="G28" s="12"/>
      <c r="H28" s="13"/>
      <c r="I28" s="12"/>
      <c r="J28" s="13"/>
      <c r="K28" s="12"/>
      <c r="L28" s="13">
        <v>12</v>
      </c>
      <c r="M28" s="354">
        <f>SUM(G28:L28)</f>
        <v>12</v>
      </c>
      <c r="N28" s="84">
        <v>224.61</v>
      </c>
      <c r="O28" s="355">
        <f>N28*M28</f>
        <v>2695.32</v>
      </c>
      <c r="R28" s="333"/>
      <c r="S28" s="360"/>
      <c r="T28" s="360"/>
      <c r="U28" s="360"/>
      <c r="V28" s="361"/>
    </row>
    <row r="29" spans="2:22" ht="24.75" customHeight="1">
      <c r="B29" s="172"/>
      <c r="C29" s="15" t="s">
        <v>270</v>
      </c>
      <c r="D29" s="439"/>
      <c r="E29" s="11" t="s">
        <v>271</v>
      </c>
      <c r="F29" s="174" t="s">
        <v>5</v>
      </c>
      <c r="G29" s="15"/>
      <c r="H29" s="10"/>
      <c r="I29" s="15"/>
      <c r="J29" s="10"/>
      <c r="K29" s="15">
        <v>440</v>
      </c>
      <c r="L29" s="10"/>
      <c r="M29" s="216">
        <f>SUM(G29:L29)</f>
        <v>440</v>
      </c>
      <c r="N29" s="85">
        <v>81.84</v>
      </c>
      <c r="O29" s="38">
        <f>N29*M29</f>
        <v>36009.6</v>
      </c>
      <c r="R29" s="335"/>
      <c r="S29" s="351"/>
      <c r="T29" s="351"/>
      <c r="U29" s="351"/>
      <c r="V29" s="341"/>
    </row>
    <row r="30" spans="2:22" ht="24.75" customHeight="1" thickBot="1">
      <c r="B30" s="172"/>
      <c r="C30" s="40" t="s">
        <v>61</v>
      </c>
      <c r="D30" s="440"/>
      <c r="E30" s="18" t="s">
        <v>26</v>
      </c>
      <c r="F30" s="189" t="s">
        <v>25</v>
      </c>
      <c r="G30" s="40"/>
      <c r="H30" s="20"/>
      <c r="I30" s="40"/>
      <c r="J30" s="20"/>
      <c r="K30" s="40"/>
      <c r="L30" s="20">
        <v>2</v>
      </c>
      <c r="M30" s="356">
        <f>SUM(G30:L30)</f>
        <v>2</v>
      </c>
      <c r="N30" s="76">
        <f>Composição!F79</f>
        <v>257.08224</v>
      </c>
      <c r="O30" s="357">
        <f>N30*M30</f>
        <v>514.16448</v>
      </c>
      <c r="S30" s="22"/>
      <c r="T30" s="22"/>
      <c r="U30" s="22"/>
      <c r="V30" s="342"/>
    </row>
    <row r="31" spans="2:22" ht="24.75" customHeight="1" thickBot="1">
      <c r="B31" s="49"/>
      <c r="C31" s="50"/>
      <c r="D31" s="51"/>
      <c r="E31" s="36"/>
      <c r="F31" s="52"/>
      <c r="G31" s="52">
        <f aca="true" t="shared" si="4" ref="G31:L31">SUM(G28:G30)</f>
        <v>0</v>
      </c>
      <c r="H31" s="52">
        <f t="shared" si="4"/>
        <v>0</v>
      </c>
      <c r="I31" s="52">
        <f t="shared" si="4"/>
        <v>0</v>
      </c>
      <c r="J31" s="52">
        <f t="shared" si="4"/>
        <v>0</v>
      </c>
      <c r="K31" s="52">
        <f t="shared" si="4"/>
        <v>440</v>
      </c>
      <c r="L31" s="52">
        <f t="shared" si="4"/>
        <v>14</v>
      </c>
      <c r="M31" s="32"/>
      <c r="N31" s="75"/>
      <c r="O31" s="45">
        <f>SUM(O28:O30)</f>
        <v>39219.08448</v>
      </c>
      <c r="R31" s="343"/>
      <c r="V31" s="344"/>
    </row>
    <row r="32" spans="2:22" ht="24.75" customHeight="1" thickBot="1">
      <c r="B32" s="12"/>
      <c r="C32" s="13" t="s">
        <v>249</v>
      </c>
      <c r="D32" s="431" t="s">
        <v>27</v>
      </c>
      <c r="E32" s="14" t="s">
        <v>250</v>
      </c>
      <c r="F32" s="173" t="s">
        <v>5</v>
      </c>
      <c r="G32" s="12"/>
      <c r="H32" s="13"/>
      <c r="I32" s="12"/>
      <c r="J32" s="13"/>
      <c r="K32" s="12"/>
      <c r="L32" s="13"/>
      <c r="M32" s="218">
        <f>SUM(G32:L32)</f>
        <v>0</v>
      </c>
      <c r="N32" s="77">
        <v>146.41</v>
      </c>
      <c r="O32" s="39">
        <f>M32*N32</f>
        <v>0</v>
      </c>
      <c r="R32" s="333"/>
      <c r="S32" s="352"/>
      <c r="T32" s="352"/>
      <c r="U32" s="352"/>
      <c r="V32" s="353"/>
    </row>
    <row r="33" spans="2:22" ht="30.75" thickBot="1">
      <c r="B33" s="40"/>
      <c r="C33" s="20" t="s">
        <v>251</v>
      </c>
      <c r="D33" s="433"/>
      <c r="E33" s="18" t="s">
        <v>252</v>
      </c>
      <c r="F33" s="189" t="s">
        <v>5</v>
      </c>
      <c r="G33" s="40"/>
      <c r="H33" s="20"/>
      <c r="I33" s="40"/>
      <c r="J33" s="20"/>
      <c r="K33" s="40"/>
      <c r="L33" s="20"/>
      <c r="M33" s="218">
        <f>SUM(G33:L33)</f>
        <v>0</v>
      </c>
      <c r="N33" s="76">
        <v>160.95</v>
      </c>
      <c r="O33" s="39">
        <f>M33*N33</f>
        <v>0</v>
      </c>
      <c r="R33" s="335"/>
      <c r="S33" s="351"/>
      <c r="T33" s="351"/>
      <c r="U33" s="351"/>
      <c r="V33" s="341"/>
    </row>
    <row r="34" spans="2:22" ht="24.75" customHeight="1" thickBot="1">
      <c r="B34" s="49"/>
      <c r="C34" s="50"/>
      <c r="D34" s="51"/>
      <c r="E34" s="36"/>
      <c r="F34" s="52"/>
      <c r="G34" s="52"/>
      <c r="H34" s="52"/>
      <c r="I34" s="52"/>
      <c r="J34" s="52"/>
      <c r="K34" s="52"/>
      <c r="L34" s="52"/>
      <c r="M34" s="32"/>
      <c r="N34" s="75"/>
      <c r="O34" s="45">
        <f>SUM(O32:O33)</f>
        <v>0</v>
      </c>
      <c r="R34" s="343"/>
      <c r="S34" s="140"/>
      <c r="T34" s="140"/>
      <c r="U34" s="140"/>
      <c r="V34" s="362"/>
    </row>
    <row r="35" spans="2:22" ht="24.75" customHeight="1" thickBot="1">
      <c r="B35" s="53"/>
      <c r="C35" s="13" t="s">
        <v>61</v>
      </c>
      <c r="D35" s="431" t="s">
        <v>6</v>
      </c>
      <c r="E35" s="14" t="s">
        <v>46</v>
      </c>
      <c r="F35" s="173" t="s">
        <v>25</v>
      </c>
      <c r="G35" s="12"/>
      <c r="H35" s="13"/>
      <c r="I35" s="12"/>
      <c r="J35" s="13"/>
      <c r="K35" s="12"/>
      <c r="L35" s="13"/>
      <c r="M35" s="191"/>
      <c r="N35" s="71">
        <f>Composição!E45</f>
        <v>557.6060606060605</v>
      </c>
      <c r="O35" s="8">
        <f>M35*N35</f>
        <v>0</v>
      </c>
      <c r="R35" s="333"/>
      <c r="V35" s="362"/>
    </row>
    <row r="36" spans="2:22" ht="24.75" customHeight="1" hidden="1">
      <c r="B36" s="15"/>
      <c r="C36" s="10"/>
      <c r="D36" s="432"/>
      <c r="E36" s="11" t="s">
        <v>28</v>
      </c>
      <c r="F36" s="174" t="s">
        <v>5</v>
      </c>
      <c r="G36" s="15"/>
      <c r="H36" s="10"/>
      <c r="I36" s="15"/>
      <c r="J36" s="10"/>
      <c r="K36" s="15"/>
      <c r="L36" s="10"/>
      <c r="M36" s="192"/>
      <c r="N36" s="72"/>
      <c r="O36" s="8">
        <f>M36*N36</f>
        <v>0</v>
      </c>
      <c r="R36" s="333"/>
      <c r="S36" s="363"/>
      <c r="T36" s="363"/>
      <c r="U36" s="363"/>
      <c r="V36" s="362"/>
    </row>
    <row r="37" spans="2:22" ht="30.75" customHeight="1" thickBot="1">
      <c r="B37" s="40"/>
      <c r="C37" s="20" t="s">
        <v>61</v>
      </c>
      <c r="D37" s="433"/>
      <c r="E37" s="18" t="s">
        <v>265</v>
      </c>
      <c r="F37" s="189" t="s">
        <v>25</v>
      </c>
      <c r="G37" s="40">
        <v>3</v>
      </c>
      <c r="H37" s="20">
        <v>5</v>
      </c>
      <c r="I37" s="40">
        <v>4</v>
      </c>
      <c r="J37" s="20">
        <v>10</v>
      </c>
      <c r="K37" s="40">
        <v>4</v>
      </c>
      <c r="L37" s="20">
        <v>9</v>
      </c>
      <c r="M37" s="193">
        <f>SUM(G37:L37)</f>
        <v>35</v>
      </c>
      <c r="N37" s="73">
        <v>92</v>
      </c>
      <c r="O37" s="8">
        <f>M37*N37</f>
        <v>3220</v>
      </c>
      <c r="R37" s="335"/>
      <c r="S37" s="351"/>
      <c r="T37" s="351"/>
      <c r="U37" s="351"/>
      <c r="V37" s="351"/>
    </row>
    <row r="38" spans="2:15" ht="24.75" customHeight="1" thickBot="1">
      <c r="B38" s="49"/>
      <c r="C38" s="50"/>
      <c r="D38" s="51"/>
      <c r="E38" s="36"/>
      <c r="F38" s="52"/>
      <c r="G38" s="52">
        <f aca="true" t="shared" si="5" ref="G38:L38">SUM(G35:G37)</f>
        <v>3</v>
      </c>
      <c r="H38" s="52">
        <f t="shared" si="5"/>
        <v>5</v>
      </c>
      <c r="I38" s="52">
        <f t="shared" si="5"/>
        <v>4</v>
      </c>
      <c r="J38" s="52">
        <f t="shared" si="5"/>
        <v>10</v>
      </c>
      <c r="K38" s="52">
        <f t="shared" si="5"/>
        <v>4</v>
      </c>
      <c r="L38" s="52">
        <f t="shared" si="5"/>
        <v>9</v>
      </c>
      <c r="M38" s="32"/>
      <c r="N38" s="75"/>
      <c r="O38" s="45">
        <f>SUM(O35:O37)</f>
        <v>3220</v>
      </c>
    </row>
    <row r="39" spans="2:15" ht="51.75" customHeight="1">
      <c r="B39" s="53"/>
      <c r="C39" s="13" t="s">
        <v>61</v>
      </c>
      <c r="D39" s="431" t="s">
        <v>7</v>
      </c>
      <c r="E39" s="14" t="s">
        <v>58</v>
      </c>
      <c r="F39" s="173" t="s">
        <v>8</v>
      </c>
      <c r="G39" s="12"/>
      <c r="H39" s="13"/>
      <c r="I39" s="12"/>
      <c r="J39" s="13"/>
      <c r="K39" s="12"/>
      <c r="L39" s="13"/>
      <c r="M39" s="347">
        <f>SUM(G39:L39)</f>
        <v>0</v>
      </c>
      <c r="N39" s="77">
        <f>Composição!G94</f>
        <v>103.30406</v>
      </c>
      <c r="O39" s="39">
        <f>N39*M39</f>
        <v>0</v>
      </c>
    </row>
    <row r="40" spans="2:22" ht="24.75" customHeight="1" thickBot="1">
      <c r="B40" s="47"/>
      <c r="C40" s="20" t="s">
        <v>241</v>
      </c>
      <c r="D40" s="432"/>
      <c r="E40" s="11" t="s">
        <v>266</v>
      </c>
      <c r="F40" s="174" t="s">
        <v>8</v>
      </c>
      <c r="G40" s="15"/>
      <c r="H40" s="10"/>
      <c r="I40" s="15"/>
      <c r="J40" s="10"/>
      <c r="K40" s="15">
        <v>66</v>
      </c>
      <c r="L40" s="10"/>
      <c r="M40" s="347">
        <f>SUM(G40:L40)</f>
        <v>66</v>
      </c>
      <c r="N40" s="79">
        <v>540.87</v>
      </c>
      <c r="O40" s="63">
        <f>M40*N40</f>
        <v>35697.42</v>
      </c>
      <c r="V40" s="148"/>
    </row>
    <row r="41" spans="2:15" ht="24.75" customHeight="1">
      <c r="B41" s="47"/>
      <c r="C41" s="10" t="s">
        <v>61</v>
      </c>
      <c r="D41" s="432"/>
      <c r="E41" s="11" t="s">
        <v>48</v>
      </c>
      <c r="F41" s="174" t="s">
        <v>8</v>
      </c>
      <c r="G41" s="15">
        <v>84</v>
      </c>
      <c r="H41" s="10">
        <v>144</v>
      </c>
      <c r="I41" s="15">
        <v>168</v>
      </c>
      <c r="J41" s="10">
        <v>408</v>
      </c>
      <c r="K41" s="15">
        <v>78</v>
      </c>
      <c r="L41" s="10">
        <v>216</v>
      </c>
      <c r="M41" s="347">
        <f>SUM(G41:L41)</f>
        <v>1098</v>
      </c>
      <c r="N41" s="79">
        <f>Composição!G103</f>
        <v>64.99726000000001</v>
      </c>
      <c r="O41" s="63">
        <f>M41*N41</f>
        <v>71366.99148000001</v>
      </c>
    </row>
    <row r="42" spans="2:15" ht="24.75" customHeight="1">
      <c r="B42" s="47"/>
      <c r="C42" s="10" t="s">
        <v>253</v>
      </c>
      <c r="D42" s="432"/>
      <c r="E42" s="11" t="s">
        <v>49</v>
      </c>
      <c r="F42" s="174" t="s">
        <v>8</v>
      </c>
      <c r="G42" s="15"/>
      <c r="H42" s="10"/>
      <c r="I42" s="15"/>
      <c r="J42" s="10"/>
      <c r="K42" s="15"/>
      <c r="L42" s="10"/>
      <c r="M42" s="347">
        <f>SUM(G42:L42)</f>
        <v>0</v>
      </c>
      <c r="N42" s="79">
        <v>221.24</v>
      </c>
      <c r="O42" s="63">
        <f>M42*N42</f>
        <v>0</v>
      </c>
    </row>
    <row r="43" spans="2:15" ht="24.75" customHeight="1" thickBot="1">
      <c r="B43" s="16"/>
      <c r="C43" s="20" t="s">
        <v>29</v>
      </c>
      <c r="D43" s="433"/>
      <c r="E43" s="18" t="s">
        <v>50</v>
      </c>
      <c r="F43" s="189" t="s">
        <v>8</v>
      </c>
      <c r="G43" s="40"/>
      <c r="H43" s="20"/>
      <c r="I43" s="40"/>
      <c r="J43" s="20"/>
      <c r="K43" s="40"/>
      <c r="L43" s="20"/>
      <c r="M43" s="347">
        <f>SUM(G43:L43)</f>
        <v>0</v>
      </c>
      <c r="N43" s="76">
        <v>30</v>
      </c>
      <c r="O43" s="63">
        <f>M43*N43</f>
        <v>0</v>
      </c>
    </row>
    <row r="44" spans="2:15" ht="24.75" customHeight="1" thickBot="1">
      <c r="B44" s="49"/>
      <c r="C44" s="50"/>
      <c r="D44" s="51"/>
      <c r="E44" s="36"/>
      <c r="F44" s="52"/>
      <c r="G44" s="52">
        <f>SUM(G39:G43)</f>
        <v>84</v>
      </c>
      <c r="H44" s="52">
        <f>SUM(H39:H43)</f>
        <v>144</v>
      </c>
      <c r="I44" s="52">
        <f>SUM(I39:I43)</f>
        <v>168</v>
      </c>
      <c r="J44" s="52">
        <f>SUM(J39:J43)</f>
        <v>408</v>
      </c>
      <c r="K44" s="52">
        <f>SUM(K41:K43)</f>
        <v>78</v>
      </c>
      <c r="L44" s="52">
        <f>SUM(L39:L43)</f>
        <v>216</v>
      </c>
      <c r="M44" s="32"/>
      <c r="N44" s="75"/>
      <c r="O44" s="45">
        <f>SUM(O39:O43)</f>
        <v>107064.41148000001</v>
      </c>
    </row>
    <row r="45" spans="2:15" ht="24.75" customHeight="1">
      <c r="B45" s="12"/>
      <c r="C45" s="13" t="s">
        <v>245</v>
      </c>
      <c r="D45" s="431" t="s">
        <v>30</v>
      </c>
      <c r="E45" s="14" t="s">
        <v>31</v>
      </c>
      <c r="F45" s="173" t="s">
        <v>1</v>
      </c>
      <c r="G45" s="12"/>
      <c r="H45" s="13"/>
      <c r="I45" s="12"/>
      <c r="J45" s="13"/>
      <c r="K45" s="12">
        <v>858</v>
      </c>
      <c r="L45" s="13"/>
      <c r="M45" s="216">
        <f>SUM(G45:L45)</f>
        <v>858</v>
      </c>
      <c r="N45" s="77">
        <v>7.72</v>
      </c>
      <c r="O45" s="63">
        <f>M45*N45</f>
        <v>6623.76</v>
      </c>
    </row>
    <row r="46" spans="2:15" ht="24.75" customHeight="1">
      <c r="B46" s="15"/>
      <c r="C46" s="10" t="s">
        <v>246</v>
      </c>
      <c r="D46" s="432"/>
      <c r="E46" s="11" t="s">
        <v>32</v>
      </c>
      <c r="F46" s="174" t="s">
        <v>1</v>
      </c>
      <c r="G46" s="15"/>
      <c r="H46" s="10"/>
      <c r="I46" s="15"/>
      <c r="J46" s="10"/>
      <c r="K46" s="15"/>
      <c r="L46" s="10"/>
      <c r="M46" s="216">
        <f>SUM(G46:L46)</f>
        <v>0</v>
      </c>
      <c r="N46" s="79">
        <v>6.61</v>
      </c>
      <c r="O46" s="63">
        <f>M46*N46</f>
        <v>0</v>
      </c>
    </row>
    <row r="47" spans="2:15" ht="24.75" customHeight="1" thickBot="1">
      <c r="B47" s="15"/>
      <c r="C47" s="10" t="s">
        <v>61</v>
      </c>
      <c r="D47" s="432"/>
      <c r="E47" s="11" t="s">
        <v>47</v>
      </c>
      <c r="F47" s="174" t="s">
        <v>1</v>
      </c>
      <c r="G47" s="40">
        <v>560</v>
      </c>
      <c r="H47" s="20">
        <v>960</v>
      </c>
      <c r="I47" s="40">
        <v>1120</v>
      </c>
      <c r="J47" s="20">
        <v>2720</v>
      </c>
      <c r="K47" s="40">
        <v>1220</v>
      </c>
      <c r="L47" s="20">
        <v>1360</v>
      </c>
      <c r="M47" s="216">
        <f>SUM(G47:L47)</f>
        <v>7940</v>
      </c>
      <c r="N47" s="79">
        <f>Composição!G107</f>
        <v>1.7485</v>
      </c>
      <c r="O47" s="63">
        <f>M47*N47</f>
        <v>13883.09</v>
      </c>
    </row>
    <row r="48" spans="2:15" ht="24.75" customHeight="1" thickBot="1">
      <c r="B48" s="54"/>
      <c r="C48" s="55"/>
      <c r="D48" s="56"/>
      <c r="E48" s="37"/>
      <c r="F48" s="57"/>
      <c r="G48" s="57">
        <f>SUM(G45:G47)</f>
        <v>560</v>
      </c>
      <c r="H48" s="57">
        <f>SUM(H45:H47)</f>
        <v>960</v>
      </c>
      <c r="I48" s="57">
        <f>SUM(I45:I47)</f>
        <v>1120</v>
      </c>
      <c r="J48" s="57">
        <f>SUM(J45:J47)</f>
        <v>2720</v>
      </c>
      <c r="K48" s="57">
        <v>1220</v>
      </c>
      <c r="L48" s="57">
        <f>SUM(L45:L47)</f>
        <v>1360</v>
      </c>
      <c r="M48" s="31"/>
      <c r="N48" s="78"/>
      <c r="O48" s="34">
        <f>SUM(O45:O47)</f>
        <v>20506.85</v>
      </c>
    </row>
    <row r="49" spans="2:15" ht="24.75" customHeight="1">
      <c r="B49" s="171"/>
      <c r="C49" s="12" t="s">
        <v>244</v>
      </c>
      <c r="D49" s="431" t="s">
        <v>9</v>
      </c>
      <c r="E49" s="14" t="s">
        <v>33</v>
      </c>
      <c r="F49" s="173" t="s">
        <v>5</v>
      </c>
      <c r="G49" s="12"/>
      <c r="H49" s="13"/>
      <c r="I49" s="12"/>
      <c r="J49" s="13"/>
      <c r="K49" s="12"/>
      <c r="L49" s="13"/>
      <c r="M49" s="218"/>
      <c r="N49" s="80"/>
      <c r="O49" s="39"/>
    </row>
    <row r="50" spans="2:15" ht="24.75" customHeight="1">
      <c r="B50" s="172"/>
      <c r="C50" s="15" t="s">
        <v>244</v>
      </c>
      <c r="D50" s="432"/>
      <c r="E50" s="11" t="s">
        <v>34</v>
      </c>
      <c r="F50" s="174" t="s">
        <v>5</v>
      </c>
      <c r="G50" s="15"/>
      <c r="H50" s="10"/>
      <c r="I50" s="15"/>
      <c r="J50" s="10"/>
      <c r="K50" s="15"/>
      <c r="L50" s="10"/>
      <c r="M50" s="348"/>
      <c r="N50" s="81"/>
      <c r="O50" s="63"/>
    </row>
    <row r="51" spans="2:15" ht="24.75" customHeight="1">
      <c r="B51" s="172"/>
      <c r="C51" s="15" t="s">
        <v>254</v>
      </c>
      <c r="D51" s="432"/>
      <c r="E51" s="11" t="s">
        <v>35</v>
      </c>
      <c r="F51" s="174" t="s">
        <v>1</v>
      </c>
      <c r="G51" s="15"/>
      <c r="H51" s="10"/>
      <c r="I51" s="15"/>
      <c r="J51" s="10"/>
      <c r="K51" s="15"/>
      <c r="L51" s="10"/>
      <c r="M51" s="348"/>
      <c r="N51" s="81"/>
      <c r="O51" s="63"/>
    </row>
    <row r="52" spans="2:15" ht="24.75" customHeight="1">
      <c r="B52" s="172"/>
      <c r="C52" s="15" t="s">
        <v>244</v>
      </c>
      <c r="D52" s="432"/>
      <c r="E52" s="11" t="s">
        <v>55</v>
      </c>
      <c r="F52" s="174" t="s">
        <v>5</v>
      </c>
      <c r="G52" s="15"/>
      <c r="H52" s="10"/>
      <c r="I52" s="15"/>
      <c r="J52" s="10"/>
      <c r="K52" s="15"/>
      <c r="L52" s="10"/>
      <c r="M52" s="348"/>
      <c r="N52" s="81"/>
      <c r="O52" s="63"/>
    </row>
    <row r="53" spans="2:15" ht="24.75" customHeight="1">
      <c r="B53" s="172"/>
      <c r="C53" s="15" t="s">
        <v>244</v>
      </c>
      <c r="D53" s="432"/>
      <c r="E53" s="11" t="s">
        <v>56</v>
      </c>
      <c r="F53" s="174" t="s">
        <v>1</v>
      </c>
      <c r="G53" s="15"/>
      <c r="H53" s="10"/>
      <c r="I53" s="15"/>
      <c r="J53" s="10"/>
      <c r="K53" s="15"/>
      <c r="L53" s="10"/>
      <c r="M53" s="348"/>
      <c r="N53" s="81"/>
      <c r="O53" s="63"/>
    </row>
    <row r="54" spans="2:15" ht="24.75" customHeight="1">
      <c r="B54" s="220"/>
      <c r="C54" s="15" t="s">
        <v>244</v>
      </c>
      <c r="D54" s="434"/>
      <c r="E54" s="11" t="s">
        <v>274</v>
      </c>
      <c r="F54" s="345" t="s">
        <v>57</v>
      </c>
      <c r="G54" s="48">
        <v>1</v>
      </c>
      <c r="H54" s="43"/>
      <c r="I54" s="48"/>
      <c r="J54" s="43"/>
      <c r="K54" s="48"/>
      <c r="L54" s="43"/>
      <c r="M54" s="349">
        <f>SUM(G54:L54)</f>
        <v>1</v>
      </c>
      <c r="N54" s="82">
        <v>2500</v>
      </c>
      <c r="O54" s="64">
        <f>M54*N54</f>
        <v>2500</v>
      </c>
    </row>
    <row r="55" spans="2:15" ht="24.75" customHeight="1" thickBot="1">
      <c r="B55" s="221"/>
      <c r="C55" s="40" t="s">
        <v>244</v>
      </c>
      <c r="D55" s="433"/>
      <c r="E55" s="61" t="s">
        <v>275</v>
      </c>
      <c r="F55" s="189" t="s">
        <v>57</v>
      </c>
      <c r="G55" s="40">
        <v>1</v>
      </c>
      <c r="H55" s="20"/>
      <c r="I55" s="40"/>
      <c r="J55" s="20"/>
      <c r="K55" s="40"/>
      <c r="L55" s="20"/>
      <c r="M55" s="350">
        <f>SUM(G55:L55)</f>
        <v>1</v>
      </c>
      <c r="N55" s="83">
        <v>15000</v>
      </c>
      <c r="O55" s="65">
        <f>M55*N55</f>
        <v>15000</v>
      </c>
    </row>
    <row r="56" spans="2:15" ht="24.75" customHeight="1">
      <c r="B56" s="52"/>
      <c r="C56" s="50"/>
      <c r="D56" s="51"/>
      <c r="E56" s="36"/>
      <c r="F56" s="52"/>
      <c r="G56" s="52">
        <f aca="true" t="shared" si="6" ref="G56:L56">SUM(G49:G55)</f>
        <v>2</v>
      </c>
      <c r="H56" s="52">
        <f t="shared" si="6"/>
        <v>0</v>
      </c>
      <c r="I56" s="52">
        <f t="shared" si="6"/>
        <v>0</v>
      </c>
      <c r="J56" s="52">
        <f t="shared" si="6"/>
        <v>0</v>
      </c>
      <c r="K56" s="52">
        <f t="shared" si="6"/>
        <v>0</v>
      </c>
      <c r="L56" s="52">
        <f t="shared" si="6"/>
        <v>0</v>
      </c>
      <c r="M56" s="32"/>
      <c r="N56" s="75"/>
      <c r="O56" s="58">
        <f>SUM(O49:O55)</f>
        <v>17500</v>
      </c>
    </row>
    <row r="57" spans="2:15" ht="24.75" customHeight="1">
      <c r="B57" s="52"/>
      <c r="C57" s="51"/>
      <c r="D57" s="51"/>
      <c r="E57" s="36"/>
      <c r="F57" s="52"/>
      <c r="G57" s="52"/>
      <c r="H57" s="52"/>
      <c r="I57" s="52"/>
      <c r="J57" s="52"/>
      <c r="K57" s="52"/>
      <c r="L57" s="52"/>
      <c r="M57" s="32"/>
      <c r="N57" s="75"/>
      <c r="O57" s="408">
        <f>O20+O27+O31+O38+O44+O48+O56</f>
        <v>268643.71596</v>
      </c>
    </row>
  </sheetData>
  <sheetProtection/>
  <mergeCells count="16">
    <mergeCell ref="D45:D47"/>
    <mergeCell ref="D49:D55"/>
    <mergeCell ref="B2:O2"/>
    <mergeCell ref="G3:H3"/>
    <mergeCell ref="I3:J3"/>
    <mergeCell ref="K3:L3"/>
    <mergeCell ref="D12:D19"/>
    <mergeCell ref="B21:O21"/>
    <mergeCell ref="D28:D30"/>
    <mergeCell ref="D32:D33"/>
    <mergeCell ref="D35:D37"/>
    <mergeCell ref="D39:D43"/>
    <mergeCell ref="B6:C6"/>
    <mergeCell ref="B1:O1"/>
    <mergeCell ref="D7:D10"/>
    <mergeCell ref="D22:D26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zoomScale="75" zoomScaleNormal="75" zoomScalePageLayoutView="0" workbookViewId="0" topLeftCell="B26">
      <selection activeCell="B1" sqref="B1:O49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15.00390625" style="0" bestFit="1" customWidth="1"/>
    <col min="4" max="4" width="26.8515625" style="0" customWidth="1"/>
    <col min="5" max="5" width="71.57421875" style="35" customWidth="1"/>
    <col min="6" max="6" width="8.00390625" style="2" customWidth="1"/>
    <col min="7" max="7" width="9.00390625" style="2" hidden="1" customWidth="1"/>
    <col min="8" max="12" width="10.140625" style="2" hidden="1" customWidth="1"/>
    <col min="13" max="13" width="12.28125" style="1" bestFit="1" customWidth="1"/>
    <col min="14" max="14" width="22.7109375" style="74" bestFit="1" customWidth="1"/>
    <col min="15" max="15" width="23.421875" style="1" bestFit="1" customWidth="1"/>
    <col min="16" max="16" width="5.57421875" style="0" customWidth="1"/>
    <col min="17" max="17" width="4.140625" style="0" customWidth="1"/>
    <col min="18" max="18" width="34.8515625" style="0" customWidth="1"/>
    <col min="19" max="20" width="11.7109375" style="0" bestFit="1" customWidth="1"/>
    <col min="21" max="21" width="11.57421875" style="0" bestFit="1" customWidth="1"/>
    <col min="22" max="22" width="12.421875" style="0" bestFit="1" customWidth="1"/>
  </cols>
  <sheetData>
    <row r="1" spans="2:15" ht="23.25" customHeight="1">
      <c r="B1" s="450" t="s">
        <v>255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2"/>
    </row>
    <row r="2" spans="1:35" ht="23.25" customHeight="1" thickBot="1">
      <c r="A2" s="4"/>
      <c r="B2" s="453" t="s">
        <v>256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5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3.25" customHeight="1">
      <c r="A3" s="4"/>
      <c r="B3" s="90"/>
      <c r="C3" s="91"/>
      <c r="D3" s="91"/>
      <c r="E3" s="91"/>
      <c r="F3" s="91"/>
      <c r="G3" s="435" t="s">
        <v>257</v>
      </c>
      <c r="H3" s="436"/>
      <c r="I3" s="435" t="s">
        <v>258</v>
      </c>
      <c r="J3" s="436"/>
      <c r="K3" s="435" t="s">
        <v>259</v>
      </c>
      <c r="L3" s="436"/>
      <c r="M3" s="209" t="s">
        <v>263</v>
      </c>
      <c r="N3" s="91"/>
      <c r="O3" s="92"/>
      <c r="P3" s="4"/>
      <c r="Q3" s="4"/>
      <c r="R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23.25" customHeight="1">
      <c r="A4" s="4"/>
      <c r="B4" s="90"/>
      <c r="C4" s="91"/>
      <c r="D4" s="91"/>
      <c r="E4" s="91"/>
      <c r="F4" s="91"/>
      <c r="G4" s="202" t="s">
        <v>260</v>
      </c>
      <c r="H4" s="201" t="s">
        <v>261</v>
      </c>
      <c r="I4" s="202" t="s">
        <v>260</v>
      </c>
      <c r="J4" s="201" t="s">
        <v>261</v>
      </c>
      <c r="K4" s="202" t="s">
        <v>260</v>
      </c>
      <c r="L4" s="201" t="s">
        <v>261</v>
      </c>
      <c r="M4" s="210" t="s">
        <v>77</v>
      </c>
      <c r="N4" s="91"/>
      <c r="O4" s="92"/>
      <c r="P4" s="4"/>
      <c r="Q4" s="4"/>
      <c r="R4" s="4"/>
      <c r="S4" s="121"/>
      <c r="T4" s="121"/>
      <c r="U4" s="121"/>
      <c r="V4" s="12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23.25" customHeight="1" thickBot="1">
      <c r="A5" s="4"/>
      <c r="B5" s="90"/>
      <c r="C5" s="91"/>
      <c r="D5" s="91"/>
      <c r="E5" s="91" t="s">
        <v>264</v>
      </c>
      <c r="F5" s="91"/>
      <c r="G5" s="204">
        <v>0.28</v>
      </c>
      <c r="H5" s="205">
        <v>0.48</v>
      </c>
      <c r="I5" s="204">
        <v>0.56</v>
      </c>
      <c r="J5" s="205">
        <v>1.36</v>
      </c>
      <c r="K5" s="204">
        <v>0.48</v>
      </c>
      <c r="L5" s="205">
        <v>0.72</v>
      </c>
      <c r="M5" s="211">
        <f>SUM(G5:L5)</f>
        <v>3.88</v>
      </c>
      <c r="N5" s="217" t="s">
        <v>181</v>
      </c>
      <c r="O5" s="219"/>
      <c r="P5" s="4"/>
      <c r="Q5" s="4"/>
      <c r="R5" s="333"/>
      <c r="S5" s="334"/>
      <c r="T5" s="334"/>
      <c r="U5" s="334"/>
      <c r="V5" s="33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22" s="3" customFormat="1" ht="44.25" customHeight="1" thickBot="1">
      <c r="B6" s="456" t="s">
        <v>45</v>
      </c>
      <c r="C6" s="457"/>
      <c r="D6" s="86" t="s">
        <v>36</v>
      </c>
      <c r="E6" s="87" t="s">
        <v>37</v>
      </c>
      <c r="F6" s="212" t="s">
        <v>11</v>
      </c>
      <c r="G6" s="196"/>
      <c r="H6" s="194"/>
      <c r="I6" s="88"/>
      <c r="J6" s="89"/>
      <c r="K6" s="88"/>
      <c r="L6" s="89"/>
      <c r="M6" s="370" t="s">
        <v>12</v>
      </c>
      <c r="N6" s="213" t="s">
        <v>13</v>
      </c>
      <c r="O6" s="214" t="s">
        <v>14</v>
      </c>
      <c r="R6" s="335"/>
      <c r="S6" s="336"/>
      <c r="T6" s="336"/>
      <c r="U6" s="336"/>
      <c r="V6" s="336"/>
    </row>
    <row r="7" spans="2:22" ht="24.75" customHeight="1" hidden="1">
      <c r="B7" s="12"/>
      <c r="C7" s="13" t="s">
        <v>16</v>
      </c>
      <c r="D7" s="441" t="s">
        <v>17</v>
      </c>
      <c r="E7" s="14" t="s">
        <v>44</v>
      </c>
      <c r="F7" s="173" t="s">
        <v>15</v>
      </c>
      <c r="G7" s="15"/>
      <c r="H7" s="10"/>
      <c r="I7" s="15"/>
      <c r="J7" s="10"/>
      <c r="K7" s="15"/>
      <c r="L7" s="10"/>
      <c r="M7" s="181"/>
      <c r="N7" s="66">
        <v>3000</v>
      </c>
      <c r="O7" s="5"/>
      <c r="V7" s="102"/>
    </row>
    <row r="8" spans="2:22" ht="24.75" customHeight="1" hidden="1">
      <c r="B8" s="15"/>
      <c r="C8" s="10" t="s">
        <v>38</v>
      </c>
      <c r="D8" s="442"/>
      <c r="E8" s="11" t="s">
        <v>39</v>
      </c>
      <c r="F8" s="174"/>
      <c r="G8" s="15"/>
      <c r="H8" s="10"/>
      <c r="I8" s="15"/>
      <c r="J8" s="10"/>
      <c r="K8" s="15"/>
      <c r="L8" s="10"/>
      <c r="M8" s="182"/>
      <c r="N8" s="62"/>
      <c r="O8" s="6"/>
      <c r="V8" s="102"/>
    </row>
    <row r="9" spans="2:22" ht="24.75" customHeight="1" hidden="1">
      <c r="B9" s="15"/>
      <c r="C9" s="10" t="s">
        <v>40</v>
      </c>
      <c r="D9" s="442"/>
      <c r="E9" s="11" t="s">
        <v>41</v>
      </c>
      <c r="F9" s="174"/>
      <c r="G9" s="15"/>
      <c r="H9" s="10"/>
      <c r="I9" s="15"/>
      <c r="J9" s="10"/>
      <c r="K9" s="15"/>
      <c r="L9" s="10"/>
      <c r="M9" s="182"/>
      <c r="N9" s="62"/>
      <c r="O9" s="6"/>
      <c r="V9" s="102"/>
    </row>
    <row r="10" spans="2:22" s="9" customFormat="1" ht="24.75" customHeight="1" hidden="1">
      <c r="B10" s="16"/>
      <c r="C10" s="17" t="s">
        <v>42</v>
      </c>
      <c r="D10" s="443"/>
      <c r="E10" s="18" t="s">
        <v>43</v>
      </c>
      <c r="F10" s="175"/>
      <c r="G10" s="197"/>
      <c r="H10" s="195"/>
      <c r="I10" s="197"/>
      <c r="J10" s="195"/>
      <c r="K10" s="197"/>
      <c r="L10" s="195"/>
      <c r="M10" s="183"/>
      <c r="N10" s="67"/>
      <c r="O10" s="19"/>
      <c r="V10" s="102"/>
    </row>
    <row r="11" spans="2:22" s="9" customFormat="1" ht="24.75" customHeight="1" hidden="1">
      <c r="B11" s="390"/>
      <c r="C11" s="391"/>
      <c r="D11" s="57"/>
      <c r="E11" s="392"/>
      <c r="F11" s="389"/>
      <c r="G11" s="393"/>
      <c r="H11" s="394"/>
      <c r="I11" s="393"/>
      <c r="J11" s="394"/>
      <c r="K11" s="393"/>
      <c r="L11" s="394"/>
      <c r="M11" s="395"/>
      <c r="N11" s="68"/>
      <c r="O11" s="34">
        <f>SUM(O7:O10)</f>
        <v>0</v>
      </c>
      <c r="V11" s="102"/>
    </row>
    <row r="12" spans="2:22" s="9" customFormat="1" ht="38.25" customHeight="1">
      <c r="B12" s="12"/>
      <c r="C12" s="13" t="s">
        <v>61</v>
      </c>
      <c r="D12" s="444" t="s">
        <v>0</v>
      </c>
      <c r="E12" s="401" t="s">
        <v>51</v>
      </c>
      <c r="F12" s="397" t="s">
        <v>1</v>
      </c>
      <c r="G12" s="396">
        <v>2500</v>
      </c>
      <c r="H12" s="396">
        <v>3200</v>
      </c>
      <c r="I12" s="396">
        <v>2000</v>
      </c>
      <c r="J12" s="396">
        <v>3150</v>
      </c>
      <c r="K12" s="396">
        <v>2350</v>
      </c>
      <c r="L12" s="396">
        <v>2800</v>
      </c>
      <c r="M12" s="406">
        <f aca="true" t="shared" si="0" ref="M12:M18">SUM(G12:L12)</f>
        <v>16000</v>
      </c>
      <c r="N12" s="398">
        <v>0.26</v>
      </c>
      <c r="O12" s="399">
        <f aca="true" t="shared" si="1" ref="O12:O17">M12*N12</f>
        <v>4160</v>
      </c>
      <c r="V12" s="102"/>
    </row>
    <row r="13" spans="2:22" s="9" customFormat="1" ht="57.75" customHeight="1">
      <c r="B13" s="46"/>
      <c r="C13" s="41" t="s">
        <v>248</v>
      </c>
      <c r="D13" s="445"/>
      <c r="E13" s="402" t="s">
        <v>52</v>
      </c>
      <c r="F13" s="187" t="s">
        <v>1</v>
      </c>
      <c r="G13" s="24">
        <v>1250</v>
      </c>
      <c r="H13" s="24">
        <v>1200</v>
      </c>
      <c r="I13" s="24">
        <v>1500</v>
      </c>
      <c r="J13" s="24">
        <v>2300</v>
      </c>
      <c r="K13" s="24">
        <v>1300</v>
      </c>
      <c r="L13" s="24">
        <v>2350</v>
      </c>
      <c r="M13" s="400">
        <f t="shared" si="0"/>
        <v>9900</v>
      </c>
      <c r="N13" s="69">
        <v>0.34</v>
      </c>
      <c r="O13" s="23">
        <f t="shared" si="1"/>
        <v>3366.0000000000005</v>
      </c>
      <c r="R13" s="331"/>
      <c r="S13" s="371"/>
      <c r="T13" s="371"/>
      <c r="U13" s="371"/>
      <c r="V13" s="102"/>
    </row>
    <row r="14" spans="2:22" s="9" customFormat="1" ht="62.25" customHeight="1">
      <c r="B14" s="47"/>
      <c r="C14" s="10" t="s">
        <v>61</v>
      </c>
      <c r="D14" s="445"/>
      <c r="E14" s="403" t="s">
        <v>59</v>
      </c>
      <c r="F14" s="187" t="s">
        <v>8</v>
      </c>
      <c r="G14" s="24">
        <v>1064</v>
      </c>
      <c r="H14" s="24">
        <v>2880</v>
      </c>
      <c r="I14" s="24">
        <v>1792</v>
      </c>
      <c r="J14" s="24">
        <v>5712</v>
      </c>
      <c r="K14" s="24">
        <v>1682</v>
      </c>
      <c r="L14" s="24">
        <v>3116</v>
      </c>
      <c r="M14" s="400">
        <f t="shared" si="0"/>
        <v>16246</v>
      </c>
      <c r="N14" s="69">
        <v>2.15</v>
      </c>
      <c r="O14" s="23">
        <f t="shared" si="1"/>
        <v>34928.9</v>
      </c>
      <c r="R14" s="333"/>
      <c r="S14" s="337"/>
      <c r="T14" s="337"/>
      <c r="U14" s="337"/>
      <c r="V14" s="338"/>
    </row>
    <row r="15" spans="2:22" s="21" customFormat="1" ht="51" customHeight="1">
      <c r="B15" s="15"/>
      <c r="C15" s="10" t="s">
        <v>65</v>
      </c>
      <c r="D15" s="445"/>
      <c r="E15" s="403" t="s">
        <v>66</v>
      </c>
      <c r="F15" s="187" t="s">
        <v>1</v>
      </c>
      <c r="G15" s="24">
        <v>2800</v>
      </c>
      <c r="H15" s="24">
        <v>4800</v>
      </c>
      <c r="I15" s="24">
        <v>5600</v>
      </c>
      <c r="J15" s="24">
        <v>13600</v>
      </c>
      <c r="K15" s="24">
        <v>4400</v>
      </c>
      <c r="L15" s="24">
        <v>5800</v>
      </c>
      <c r="M15" s="400">
        <f t="shared" si="0"/>
        <v>37000</v>
      </c>
      <c r="N15" s="69">
        <v>0.16</v>
      </c>
      <c r="O15" s="23">
        <f t="shared" si="1"/>
        <v>5920</v>
      </c>
      <c r="S15" s="340"/>
      <c r="T15" s="340"/>
      <c r="U15" s="340"/>
      <c r="V15" s="372"/>
    </row>
    <row r="16" spans="2:22" s="21" customFormat="1" ht="33.75" customHeight="1">
      <c r="B16" s="15"/>
      <c r="C16" s="10" t="s">
        <v>60</v>
      </c>
      <c r="D16" s="445"/>
      <c r="E16" s="403" t="s">
        <v>64</v>
      </c>
      <c r="F16" s="187" t="s">
        <v>1</v>
      </c>
      <c r="G16" s="24">
        <v>1604</v>
      </c>
      <c r="H16" s="24">
        <v>2880</v>
      </c>
      <c r="I16" s="24">
        <v>1792</v>
      </c>
      <c r="J16" s="24">
        <v>5712</v>
      </c>
      <c r="K16" s="24">
        <v>1627</v>
      </c>
      <c r="L16" s="24">
        <v>3116</v>
      </c>
      <c r="M16" s="400">
        <f t="shared" si="0"/>
        <v>16731</v>
      </c>
      <c r="N16" s="69">
        <v>1.09</v>
      </c>
      <c r="O16" s="23">
        <f t="shared" si="1"/>
        <v>18236.79</v>
      </c>
      <c r="R16" s="331"/>
      <c r="S16" s="9"/>
      <c r="T16" s="9"/>
      <c r="U16" s="9"/>
      <c r="V16" s="102"/>
    </row>
    <row r="17" spans="2:22" s="22" customFormat="1" ht="24.75" customHeight="1">
      <c r="B17" s="48"/>
      <c r="C17" s="43" t="s">
        <v>63</v>
      </c>
      <c r="D17" s="445"/>
      <c r="E17" s="404" t="s">
        <v>54</v>
      </c>
      <c r="F17" s="188" t="s">
        <v>53</v>
      </c>
      <c r="G17" s="62">
        <v>150</v>
      </c>
      <c r="H17" s="62">
        <v>230</v>
      </c>
      <c r="I17" s="62">
        <v>275</v>
      </c>
      <c r="J17" s="62">
        <v>150</v>
      </c>
      <c r="K17" s="62">
        <v>125</v>
      </c>
      <c r="L17" s="62">
        <v>240</v>
      </c>
      <c r="M17" s="400">
        <f t="shared" si="0"/>
        <v>1170</v>
      </c>
      <c r="N17" s="62">
        <v>2.22</v>
      </c>
      <c r="O17" s="23">
        <f t="shared" si="1"/>
        <v>2597.4</v>
      </c>
      <c r="R17" s="333"/>
      <c r="S17" s="339"/>
      <c r="T17" s="339"/>
      <c r="U17" s="339"/>
      <c r="V17" s="339"/>
    </row>
    <row r="18" spans="2:22" s="22" customFormat="1" ht="24.75" customHeight="1" thickBot="1">
      <c r="B18" s="59"/>
      <c r="C18" s="60"/>
      <c r="D18" s="446"/>
      <c r="E18" s="405"/>
      <c r="F18" s="199"/>
      <c r="G18" s="70"/>
      <c r="H18" s="70"/>
      <c r="I18" s="70"/>
      <c r="J18" s="70"/>
      <c r="K18" s="70"/>
      <c r="L18" s="70"/>
      <c r="M18" s="407">
        <f t="shared" si="0"/>
        <v>0</v>
      </c>
      <c r="N18" s="70"/>
      <c r="O18" s="19"/>
      <c r="R18" s="335"/>
      <c r="S18" s="340"/>
      <c r="T18" s="340"/>
      <c r="U18" s="340"/>
      <c r="V18" s="340"/>
    </row>
    <row r="19" spans="2:22" ht="24.75" customHeight="1" thickBot="1">
      <c r="B19" s="49"/>
      <c r="C19" s="50"/>
      <c r="D19" s="51"/>
      <c r="E19" s="36"/>
      <c r="F19" s="52"/>
      <c r="G19" s="330">
        <f aca="true" t="shared" si="2" ref="G19:L19">SUM(G12:G18)</f>
        <v>9368</v>
      </c>
      <c r="H19" s="330">
        <f t="shared" si="2"/>
        <v>15190</v>
      </c>
      <c r="I19" s="330">
        <f t="shared" si="2"/>
        <v>12959</v>
      </c>
      <c r="J19" s="330">
        <f t="shared" si="2"/>
        <v>30624</v>
      </c>
      <c r="K19" s="330">
        <f t="shared" si="2"/>
        <v>11484</v>
      </c>
      <c r="L19" s="330">
        <f t="shared" si="2"/>
        <v>17422</v>
      </c>
      <c r="M19" s="32"/>
      <c r="N19" s="75"/>
      <c r="O19" s="414">
        <f>SUM(O12:O18)</f>
        <v>69209.09</v>
      </c>
      <c r="R19" s="411"/>
      <c r="S19" s="9"/>
      <c r="T19" s="9"/>
      <c r="U19" s="9"/>
      <c r="V19" s="102"/>
    </row>
    <row r="20" spans="2:22" ht="24.75" customHeight="1" thickBot="1">
      <c r="B20" s="447" t="s">
        <v>2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9"/>
      <c r="R20" s="333"/>
      <c r="S20" s="358"/>
      <c r="T20" s="358"/>
      <c r="U20" s="358"/>
      <c r="V20" s="339"/>
    </row>
    <row r="21" spans="2:22" ht="24.75" customHeight="1" thickBot="1">
      <c r="B21" s="53"/>
      <c r="C21" s="13" t="s">
        <v>61</v>
      </c>
      <c r="D21" s="431" t="s">
        <v>3</v>
      </c>
      <c r="E21" s="14" t="s">
        <v>4</v>
      </c>
      <c r="F21" s="173" t="s">
        <v>5</v>
      </c>
      <c r="G21" s="12">
        <v>240</v>
      </c>
      <c r="H21" s="13">
        <v>400</v>
      </c>
      <c r="I21" s="12">
        <v>320</v>
      </c>
      <c r="J21" s="13">
        <v>720</v>
      </c>
      <c r="K21" s="12">
        <v>200</v>
      </c>
      <c r="L21" s="13">
        <v>560</v>
      </c>
      <c r="M21" s="191">
        <f>SUM(G21:L21)</f>
        <v>2440</v>
      </c>
      <c r="N21" s="71">
        <f>Composição!E35</f>
        <v>4.887</v>
      </c>
      <c r="O21" s="7">
        <f>M21*N21</f>
        <v>11924.279999999999</v>
      </c>
      <c r="R21" s="335"/>
      <c r="S21" s="340"/>
      <c r="T21" s="340"/>
      <c r="U21" s="340"/>
      <c r="V21" s="359"/>
    </row>
    <row r="22" spans="2:22" ht="19.5" customHeight="1" hidden="1">
      <c r="B22" s="15">
        <v>3005</v>
      </c>
      <c r="C22" s="10" t="s">
        <v>21</v>
      </c>
      <c r="D22" s="432"/>
      <c r="E22" s="11" t="s">
        <v>20</v>
      </c>
      <c r="F22" s="174" t="s">
        <v>5</v>
      </c>
      <c r="G22" s="15"/>
      <c r="H22" s="10"/>
      <c r="I22" s="15"/>
      <c r="J22" s="10"/>
      <c r="K22" s="15"/>
      <c r="L22" s="10"/>
      <c r="M22" s="192"/>
      <c r="N22" s="72"/>
      <c r="O22" s="7">
        <f>M22*N22</f>
        <v>0</v>
      </c>
      <c r="V22" s="339"/>
    </row>
    <row r="23" spans="2:22" ht="24.75" customHeight="1" hidden="1" thickBot="1">
      <c r="B23" s="15">
        <v>3006</v>
      </c>
      <c r="C23" s="10" t="s">
        <v>21</v>
      </c>
      <c r="D23" s="432"/>
      <c r="E23" s="11" t="s">
        <v>22</v>
      </c>
      <c r="F23" s="174" t="s">
        <v>5</v>
      </c>
      <c r="G23" s="15"/>
      <c r="H23" s="10"/>
      <c r="I23" s="15"/>
      <c r="J23" s="10"/>
      <c r="K23" s="15"/>
      <c r="L23" s="10"/>
      <c r="M23" s="192"/>
      <c r="N23" s="72"/>
      <c r="O23" s="7">
        <f>M23*N23</f>
        <v>0</v>
      </c>
      <c r="V23" s="339"/>
    </row>
    <row r="24" spans="2:22" ht="24.75" customHeight="1" hidden="1" thickBot="1">
      <c r="B24" s="15">
        <v>3007</v>
      </c>
      <c r="C24" s="10" t="s">
        <v>21</v>
      </c>
      <c r="D24" s="432"/>
      <c r="E24" s="11" t="s">
        <v>23</v>
      </c>
      <c r="F24" s="174" t="s">
        <v>5</v>
      </c>
      <c r="G24" s="15"/>
      <c r="H24" s="10"/>
      <c r="I24" s="15"/>
      <c r="J24" s="10"/>
      <c r="K24" s="15"/>
      <c r="L24" s="10"/>
      <c r="M24" s="192"/>
      <c r="N24" s="72"/>
      <c r="O24" s="7">
        <f>M24*N24</f>
        <v>0</v>
      </c>
      <c r="S24" s="351"/>
      <c r="T24" s="351"/>
      <c r="U24" s="351"/>
      <c r="V24" s="340"/>
    </row>
    <row r="25" spans="2:15" ht="24.75" customHeight="1" thickBot="1">
      <c r="B25" s="40"/>
      <c r="C25" s="20" t="s">
        <v>243</v>
      </c>
      <c r="D25" s="433"/>
      <c r="E25" s="18" t="s">
        <v>98</v>
      </c>
      <c r="F25" s="189" t="s">
        <v>25</v>
      </c>
      <c r="G25" s="40"/>
      <c r="H25" s="20"/>
      <c r="I25" s="40"/>
      <c r="J25" s="20"/>
      <c r="K25" s="40"/>
      <c r="L25" s="20"/>
      <c r="M25" s="193"/>
      <c r="N25" s="73">
        <f>'Memorial '!L22</f>
        <v>1460.6299</v>
      </c>
      <c r="O25" s="7">
        <f>M25*N25</f>
        <v>0</v>
      </c>
    </row>
    <row r="26" spans="2:22" ht="24.75" customHeight="1" thickBot="1">
      <c r="B26" s="49"/>
      <c r="C26" s="50"/>
      <c r="D26" s="51"/>
      <c r="E26" s="36"/>
      <c r="F26" s="52"/>
      <c r="G26" s="52">
        <f aca="true" t="shared" si="3" ref="G26:L26">SUM(G21:G25)</f>
        <v>240</v>
      </c>
      <c r="H26" s="52">
        <f t="shared" si="3"/>
        <v>400</v>
      </c>
      <c r="I26" s="52">
        <f t="shared" si="3"/>
        <v>320</v>
      </c>
      <c r="J26" s="52">
        <f t="shared" si="3"/>
        <v>720</v>
      </c>
      <c r="K26" s="52">
        <f t="shared" si="3"/>
        <v>200</v>
      </c>
      <c r="L26" s="52">
        <f t="shared" si="3"/>
        <v>560</v>
      </c>
      <c r="M26" s="32"/>
      <c r="N26" s="75"/>
      <c r="O26" s="45">
        <f>SUM(O21:O25)</f>
        <v>11924.279999999999</v>
      </c>
      <c r="R26" s="332"/>
      <c r="S26" s="22"/>
      <c r="T26" s="22"/>
      <c r="U26" s="22"/>
      <c r="V26" s="22"/>
    </row>
    <row r="27" spans="2:22" ht="24.75" customHeight="1">
      <c r="B27" s="172"/>
      <c r="C27" s="12" t="s">
        <v>272</v>
      </c>
      <c r="D27" s="438" t="s">
        <v>24</v>
      </c>
      <c r="E27" s="14" t="s">
        <v>273</v>
      </c>
      <c r="F27" s="173" t="s">
        <v>5</v>
      </c>
      <c r="G27" s="12"/>
      <c r="H27" s="13"/>
      <c r="I27" s="12"/>
      <c r="J27" s="13"/>
      <c r="K27" s="12"/>
      <c r="L27" s="13">
        <v>12</v>
      </c>
      <c r="M27" s="354">
        <f>SUM(G27:L27)</f>
        <v>12</v>
      </c>
      <c r="N27" s="84">
        <v>224.61</v>
      </c>
      <c r="O27" s="355">
        <f>N27*M27</f>
        <v>2695.32</v>
      </c>
      <c r="R27" s="333"/>
      <c r="S27" s="360"/>
      <c r="T27" s="360"/>
      <c r="U27" s="360"/>
      <c r="V27" s="361"/>
    </row>
    <row r="28" spans="2:22" ht="24.75" customHeight="1">
      <c r="B28" s="172"/>
      <c r="C28" s="15" t="s">
        <v>270</v>
      </c>
      <c r="D28" s="439"/>
      <c r="E28" s="11" t="s">
        <v>271</v>
      </c>
      <c r="F28" s="174" t="s">
        <v>5</v>
      </c>
      <c r="G28" s="15"/>
      <c r="H28" s="10"/>
      <c r="I28" s="15"/>
      <c r="J28" s="10"/>
      <c r="K28" s="15">
        <v>440</v>
      </c>
      <c r="L28" s="10"/>
      <c r="M28" s="216">
        <f>SUM(G28:L28)</f>
        <v>440</v>
      </c>
      <c r="N28" s="85">
        <v>81.84</v>
      </c>
      <c r="O28" s="38">
        <f>N28*M28</f>
        <v>36009.6</v>
      </c>
      <c r="R28" s="335"/>
      <c r="S28" s="351"/>
      <c r="T28" s="351"/>
      <c r="U28" s="351"/>
      <c r="V28" s="341"/>
    </row>
    <row r="29" spans="2:22" ht="24.75" customHeight="1" thickBot="1">
      <c r="B29" s="172"/>
      <c r="C29" s="40" t="s">
        <v>61</v>
      </c>
      <c r="D29" s="440"/>
      <c r="E29" s="18" t="s">
        <v>26</v>
      </c>
      <c r="F29" s="189" t="s">
        <v>25</v>
      </c>
      <c r="G29" s="40"/>
      <c r="H29" s="20"/>
      <c r="I29" s="40"/>
      <c r="J29" s="20"/>
      <c r="K29" s="40"/>
      <c r="L29" s="20">
        <v>2</v>
      </c>
      <c r="M29" s="356">
        <f>SUM(G29:L29)</f>
        <v>2</v>
      </c>
      <c r="N29" s="76">
        <f>Composição!F79</f>
        <v>257.08224</v>
      </c>
      <c r="O29" s="357">
        <f>N29*M29</f>
        <v>514.16448</v>
      </c>
      <c r="S29" s="22"/>
      <c r="T29" s="22"/>
      <c r="U29" s="22"/>
      <c r="V29" s="342"/>
    </row>
    <row r="30" spans="2:22" ht="24.75" customHeight="1" thickBot="1">
      <c r="B30" s="49"/>
      <c r="C30" s="50"/>
      <c r="D30" s="51"/>
      <c r="E30" s="36"/>
      <c r="F30" s="52"/>
      <c r="G30" s="52">
        <f aca="true" t="shared" si="4" ref="G30:L30">SUM(G27:G29)</f>
        <v>0</v>
      </c>
      <c r="H30" s="52">
        <f t="shared" si="4"/>
        <v>0</v>
      </c>
      <c r="I30" s="52">
        <f t="shared" si="4"/>
        <v>0</v>
      </c>
      <c r="J30" s="52">
        <f t="shared" si="4"/>
        <v>0</v>
      </c>
      <c r="K30" s="52">
        <f t="shared" si="4"/>
        <v>440</v>
      </c>
      <c r="L30" s="52">
        <f t="shared" si="4"/>
        <v>14</v>
      </c>
      <c r="M30" s="32"/>
      <c r="N30" s="75"/>
      <c r="O30" s="45">
        <f>SUM(O27:O29)</f>
        <v>39219.08448</v>
      </c>
      <c r="R30" s="343"/>
      <c r="V30" s="344"/>
    </row>
    <row r="31" spans="2:22" ht="31.5" customHeight="1" thickBot="1">
      <c r="B31" s="12"/>
      <c r="C31" s="13" t="s">
        <v>249</v>
      </c>
      <c r="D31" s="431" t="s">
        <v>27</v>
      </c>
      <c r="E31" s="14" t="s">
        <v>250</v>
      </c>
      <c r="F31" s="173" t="s">
        <v>5</v>
      </c>
      <c r="G31" s="12"/>
      <c r="H31" s="13"/>
      <c r="I31" s="12"/>
      <c r="J31" s="13"/>
      <c r="K31" s="12"/>
      <c r="L31" s="13"/>
      <c r="M31" s="218">
        <f>SUM(G31:L31)</f>
        <v>0</v>
      </c>
      <c r="N31" s="77">
        <v>146.41</v>
      </c>
      <c r="O31" s="39">
        <f>M31*N31</f>
        <v>0</v>
      </c>
      <c r="R31" s="333"/>
      <c r="S31" s="352"/>
      <c r="T31" s="352"/>
      <c r="U31" s="352"/>
      <c r="V31" s="353"/>
    </row>
    <row r="32" spans="2:22" ht="36.75" customHeight="1" thickBot="1">
      <c r="B32" s="40"/>
      <c r="C32" s="20" t="s">
        <v>251</v>
      </c>
      <c r="D32" s="433"/>
      <c r="E32" s="18" t="s">
        <v>252</v>
      </c>
      <c r="F32" s="189" t="s">
        <v>5</v>
      </c>
      <c r="G32" s="40"/>
      <c r="H32" s="20"/>
      <c r="I32" s="40"/>
      <c r="J32" s="20"/>
      <c r="K32" s="40"/>
      <c r="L32" s="20"/>
      <c r="M32" s="218">
        <f>SUM(G32:L32)</f>
        <v>0</v>
      </c>
      <c r="N32" s="76">
        <v>160.95</v>
      </c>
      <c r="O32" s="39">
        <f>M32*N32</f>
        <v>0</v>
      </c>
      <c r="R32" s="335"/>
      <c r="S32" s="351"/>
      <c r="T32" s="351"/>
      <c r="U32" s="351"/>
      <c r="V32" s="341"/>
    </row>
    <row r="33" spans="2:22" ht="24.75" customHeight="1" thickBot="1">
      <c r="B33" s="49"/>
      <c r="C33" s="50"/>
      <c r="D33" s="51"/>
      <c r="E33" s="36"/>
      <c r="F33" s="52"/>
      <c r="G33" s="52"/>
      <c r="H33" s="52"/>
      <c r="I33" s="52"/>
      <c r="J33" s="52"/>
      <c r="K33" s="52"/>
      <c r="L33" s="52"/>
      <c r="M33" s="32"/>
      <c r="N33" s="75"/>
      <c r="O33" s="45">
        <f>SUM(O31:O32)</f>
        <v>0</v>
      </c>
      <c r="R33" s="343"/>
      <c r="S33" s="140"/>
      <c r="T33" s="140"/>
      <c r="U33" s="140"/>
      <c r="V33" s="362"/>
    </row>
    <row r="34" spans="2:22" ht="24.75" customHeight="1" thickBot="1">
      <c r="B34" s="53"/>
      <c r="C34" s="13" t="s">
        <v>61</v>
      </c>
      <c r="D34" s="431" t="s">
        <v>6</v>
      </c>
      <c r="E34" s="14" t="s">
        <v>46</v>
      </c>
      <c r="F34" s="173" t="s">
        <v>25</v>
      </c>
      <c r="G34" s="12"/>
      <c r="H34" s="13"/>
      <c r="I34" s="12"/>
      <c r="J34" s="13"/>
      <c r="K34" s="12"/>
      <c r="L34" s="13"/>
      <c r="M34" s="191"/>
      <c r="N34" s="71">
        <f>Composição!E45</f>
        <v>557.6060606060605</v>
      </c>
      <c r="O34" s="8">
        <f>M34*N34</f>
        <v>0</v>
      </c>
      <c r="R34" s="333"/>
      <c r="V34" s="362"/>
    </row>
    <row r="35" spans="2:22" ht="24.75" customHeight="1" hidden="1" thickBot="1">
      <c r="B35" s="15"/>
      <c r="C35" s="10"/>
      <c r="D35" s="432"/>
      <c r="E35" s="11" t="s">
        <v>28</v>
      </c>
      <c r="F35" s="174" t="s">
        <v>5</v>
      </c>
      <c r="G35" s="15"/>
      <c r="H35" s="10"/>
      <c r="I35" s="15"/>
      <c r="J35" s="10"/>
      <c r="K35" s="15"/>
      <c r="L35" s="10"/>
      <c r="M35" s="192"/>
      <c r="N35" s="72"/>
      <c r="O35" s="8">
        <f>M35*N35</f>
        <v>0</v>
      </c>
      <c r="R35" s="333"/>
      <c r="S35" s="363"/>
      <c r="T35" s="363"/>
      <c r="U35" s="363"/>
      <c r="V35" s="362"/>
    </row>
    <row r="36" spans="2:22" ht="30.75" customHeight="1" thickBot="1">
      <c r="B36" s="40"/>
      <c r="C36" s="20" t="s">
        <v>61</v>
      </c>
      <c r="D36" s="433"/>
      <c r="E36" s="18" t="s">
        <v>265</v>
      </c>
      <c r="F36" s="189" t="s">
        <v>25</v>
      </c>
      <c r="G36" s="40">
        <v>3</v>
      </c>
      <c r="H36" s="20">
        <v>5</v>
      </c>
      <c r="I36" s="40">
        <v>4</v>
      </c>
      <c r="J36" s="20">
        <v>10</v>
      </c>
      <c r="K36" s="40">
        <v>4</v>
      </c>
      <c r="L36" s="20">
        <v>9</v>
      </c>
      <c r="M36" s="193">
        <f>SUM(G36:L36)</f>
        <v>35</v>
      </c>
      <c r="N36" s="73">
        <v>92</v>
      </c>
      <c r="O36" s="8">
        <f>M36*N36</f>
        <v>3220</v>
      </c>
      <c r="S36" s="351"/>
      <c r="T36" s="351"/>
      <c r="U36" s="351"/>
      <c r="V36" s="351"/>
    </row>
    <row r="37" spans="2:18" ht="24.75" customHeight="1" thickBot="1">
      <c r="B37" s="49"/>
      <c r="C37" s="50"/>
      <c r="D37" s="51"/>
      <c r="E37" s="36"/>
      <c r="F37" s="52"/>
      <c r="G37" s="52">
        <f aca="true" t="shared" si="5" ref="G37:L37">SUM(G34:G36)</f>
        <v>3</v>
      </c>
      <c r="H37" s="52">
        <f t="shared" si="5"/>
        <v>5</v>
      </c>
      <c r="I37" s="52">
        <f t="shared" si="5"/>
        <v>4</v>
      </c>
      <c r="J37" s="52">
        <f t="shared" si="5"/>
        <v>10</v>
      </c>
      <c r="K37" s="52">
        <f t="shared" si="5"/>
        <v>4</v>
      </c>
      <c r="L37" s="52">
        <f t="shared" si="5"/>
        <v>9</v>
      </c>
      <c r="M37" s="32"/>
      <c r="N37" s="75"/>
      <c r="O37" s="45">
        <f>SUM(O34:O36)</f>
        <v>3220</v>
      </c>
      <c r="R37" s="412"/>
    </row>
    <row r="38" spans="2:15" ht="51.75" customHeight="1">
      <c r="B38" s="53"/>
      <c r="C38" s="13" t="s">
        <v>61</v>
      </c>
      <c r="D38" s="431" t="s">
        <v>7</v>
      </c>
      <c r="E38" s="14" t="s">
        <v>58</v>
      </c>
      <c r="F38" s="173" t="s">
        <v>8</v>
      </c>
      <c r="G38" s="12"/>
      <c r="H38" s="13"/>
      <c r="I38" s="12"/>
      <c r="J38" s="13"/>
      <c r="K38" s="12"/>
      <c r="L38" s="13"/>
      <c r="M38" s="347">
        <f>SUM(G38:L38)</f>
        <v>0</v>
      </c>
      <c r="N38" s="77">
        <f>Composição!G94</f>
        <v>103.30406</v>
      </c>
      <c r="O38" s="39">
        <f>N38*M38</f>
        <v>0</v>
      </c>
    </row>
    <row r="39" spans="2:22" ht="24.75" customHeight="1" thickBot="1">
      <c r="B39" s="47"/>
      <c r="C39" s="20" t="s">
        <v>241</v>
      </c>
      <c r="D39" s="432"/>
      <c r="E39" s="11" t="s">
        <v>266</v>
      </c>
      <c r="F39" s="174" t="s">
        <v>8</v>
      </c>
      <c r="G39" s="15"/>
      <c r="H39" s="10"/>
      <c r="I39" s="15"/>
      <c r="J39" s="10"/>
      <c r="K39" s="15">
        <v>66</v>
      </c>
      <c r="L39" s="10"/>
      <c r="M39" s="347">
        <f>SUM(G39:L39)</f>
        <v>66</v>
      </c>
      <c r="N39" s="79">
        <v>540.87</v>
      </c>
      <c r="O39" s="63">
        <f>M39*N39</f>
        <v>35697.42</v>
      </c>
      <c r="V39" s="148"/>
    </row>
    <row r="40" spans="2:15" ht="24.75" customHeight="1">
      <c r="B40" s="47"/>
      <c r="C40" s="10" t="s">
        <v>61</v>
      </c>
      <c r="D40" s="432"/>
      <c r="E40" s="11" t="s">
        <v>48</v>
      </c>
      <c r="F40" s="174" t="s">
        <v>8</v>
      </c>
      <c r="G40" s="15">
        <v>84</v>
      </c>
      <c r="H40" s="10">
        <v>144</v>
      </c>
      <c r="I40" s="15">
        <v>168</v>
      </c>
      <c r="J40" s="10">
        <v>408</v>
      </c>
      <c r="K40" s="15">
        <v>78</v>
      </c>
      <c r="L40" s="10">
        <v>216</v>
      </c>
      <c r="M40" s="347">
        <f>SUM(G40:L40)</f>
        <v>1098</v>
      </c>
      <c r="N40" s="79">
        <f>Composição!G103</f>
        <v>64.99726000000001</v>
      </c>
      <c r="O40" s="63">
        <f>M40*N40</f>
        <v>71366.99148000001</v>
      </c>
    </row>
    <row r="41" spans="2:18" ht="24.75" customHeight="1" thickBot="1">
      <c r="B41" s="49"/>
      <c r="C41" s="50"/>
      <c r="D41" s="51"/>
      <c r="E41" s="36"/>
      <c r="F41" s="52"/>
      <c r="G41" s="52">
        <f>SUM(G38:G40)</f>
        <v>84</v>
      </c>
      <c r="H41" s="52">
        <f>SUM(H38:H40)</f>
        <v>144</v>
      </c>
      <c r="I41" s="52">
        <f>SUM(I38:I40)</f>
        <v>168</v>
      </c>
      <c r="J41" s="52">
        <f>SUM(J38:J40)</f>
        <v>408</v>
      </c>
      <c r="K41" s="52">
        <f>SUM(K40:K40)</f>
        <v>78</v>
      </c>
      <c r="L41" s="52">
        <f>SUM(L38:L40)</f>
        <v>216</v>
      </c>
      <c r="M41" s="32"/>
      <c r="N41" s="75"/>
      <c r="O41" s="45">
        <f>SUM(O38:O40)</f>
        <v>107064.41148000001</v>
      </c>
      <c r="R41" s="413"/>
    </row>
    <row r="42" spans="2:15" ht="24.75" customHeight="1">
      <c r="B42" s="12"/>
      <c r="C42" s="13" t="s">
        <v>245</v>
      </c>
      <c r="D42" s="431" t="s">
        <v>30</v>
      </c>
      <c r="E42" s="14" t="s">
        <v>31</v>
      </c>
      <c r="F42" s="173" t="s">
        <v>1</v>
      </c>
      <c r="G42" s="12"/>
      <c r="H42" s="13"/>
      <c r="I42" s="12"/>
      <c r="J42" s="13"/>
      <c r="K42" s="12">
        <v>858</v>
      </c>
      <c r="L42" s="13"/>
      <c r="M42" s="216">
        <f>SUM(G42:L42)</f>
        <v>858</v>
      </c>
      <c r="N42" s="77">
        <v>7.72</v>
      </c>
      <c r="O42" s="63">
        <f>M42*N42</f>
        <v>6623.76</v>
      </c>
    </row>
    <row r="43" spans="2:15" ht="24.75" customHeight="1">
      <c r="B43" s="15"/>
      <c r="C43" s="10" t="s">
        <v>246</v>
      </c>
      <c r="D43" s="432"/>
      <c r="E43" s="11" t="s">
        <v>32</v>
      </c>
      <c r="F43" s="174" t="s">
        <v>1</v>
      </c>
      <c r="G43" s="15"/>
      <c r="H43" s="10"/>
      <c r="I43" s="15"/>
      <c r="J43" s="10"/>
      <c r="K43" s="15"/>
      <c r="L43" s="10"/>
      <c r="M43" s="216">
        <f>SUM(G43:L43)</f>
        <v>0</v>
      </c>
      <c r="N43" s="79">
        <v>6.61</v>
      </c>
      <c r="O43" s="63">
        <f>M43*N43</f>
        <v>0</v>
      </c>
    </row>
    <row r="44" spans="2:15" ht="24.75" customHeight="1" thickBot="1">
      <c r="B44" s="15"/>
      <c r="C44" s="10" t="s">
        <v>61</v>
      </c>
      <c r="D44" s="432"/>
      <c r="E44" s="11" t="s">
        <v>47</v>
      </c>
      <c r="F44" s="174" t="s">
        <v>1</v>
      </c>
      <c r="G44" s="40">
        <v>560</v>
      </c>
      <c r="H44" s="20">
        <v>960</v>
      </c>
      <c r="I44" s="40">
        <v>1120</v>
      </c>
      <c r="J44" s="20">
        <v>2720</v>
      </c>
      <c r="K44" s="40">
        <v>1220</v>
      </c>
      <c r="L44" s="20">
        <v>1360</v>
      </c>
      <c r="M44" s="216">
        <f>SUM(G44:L44)</f>
        <v>7940</v>
      </c>
      <c r="N44" s="79">
        <f>Composição!G107</f>
        <v>1.7485</v>
      </c>
      <c r="O44" s="63">
        <f>M44*N44</f>
        <v>13883.09</v>
      </c>
    </row>
    <row r="45" spans="2:18" ht="24.75" customHeight="1">
      <c r="B45" s="54"/>
      <c r="C45" s="55"/>
      <c r="D45" s="56"/>
      <c r="E45" s="37"/>
      <c r="F45" s="57"/>
      <c r="G45" s="57">
        <f>SUM(G42:G44)</f>
        <v>560</v>
      </c>
      <c r="H45" s="57">
        <f>SUM(H42:H44)</f>
        <v>960</v>
      </c>
      <c r="I45" s="57">
        <f>SUM(I42:I44)</f>
        <v>1120</v>
      </c>
      <c r="J45" s="57">
        <f>SUM(J42:J44)</f>
        <v>2720</v>
      </c>
      <c r="K45" s="57">
        <v>1220</v>
      </c>
      <c r="L45" s="57">
        <f>SUM(L42:L44)</f>
        <v>1360</v>
      </c>
      <c r="M45" s="31"/>
      <c r="N45" s="78"/>
      <c r="O45" s="34">
        <v>20506.82</v>
      </c>
      <c r="R45" s="413"/>
    </row>
    <row r="46" spans="2:15" ht="24.75" customHeight="1">
      <c r="B46" s="220"/>
      <c r="C46" s="15" t="s">
        <v>244</v>
      </c>
      <c r="D46" s="434"/>
      <c r="E46" s="11" t="s">
        <v>274</v>
      </c>
      <c r="F46" s="345" t="s">
        <v>57</v>
      </c>
      <c r="G46" s="48">
        <v>1</v>
      </c>
      <c r="H46" s="43"/>
      <c r="I46" s="48"/>
      <c r="J46" s="43"/>
      <c r="K46" s="48"/>
      <c r="L46" s="43"/>
      <c r="M46" s="349">
        <v>2</v>
      </c>
      <c r="N46" s="82">
        <v>2500</v>
      </c>
      <c r="O46" s="64">
        <f>M46*N46</f>
        <v>5000</v>
      </c>
    </row>
    <row r="47" spans="2:15" ht="24.75" customHeight="1" thickBot="1">
      <c r="B47" s="221"/>
      <c r="C47" s="40" t="s">
        <v>244</v>
      </c>
      <c r="D47" s="433"/>
      <c r="E47" s="61" t="s">
        <v>275</v>
      </c>
      <c r="F47" s="189" t="s">
        <v>57</v>
      </c>
      <c r="G47" s="40">
        <v>1</v>
      </c>
      <c r="H47" s="20"/>
      <c r="I47" s="40"/>
      <c r="J47" s="20"/>
      <c r="K47" s="40"/>
      <c r="L47" s="20"/>
      <c r="M47" s="350">
        <f>SUM(G47:L47)</f>
        <v>1</v>
      </c>
      <c r="N47" s="83">
        <v>15000</v>
      </c>
      <c r="O47" s="65">
        <f>M47*N47</f>
        <v>15000</v>
      </c>
    </row>
    <row r="48" spans="2:18" ht="24.75" customHeight="1">
      <c r="B48" s="52"/>
      <c r="C48" s="50"/>
      <c r="D48" s="51"/>
      <c r="E48" s="36"/>
      <c r="F48" s="52"/>
      <c r="G48" s="52">
        <f aca="true" t="shared" si="6" ref="G48:L48">SUM(G46:G47)</f>
        <v>2</v>
      </c>
      <c r="H48" s="52">
        <f t="shared" si="6"/>
        <v>0</v>
      </c>
      <c r="I48" s="52">
        <f t="shared" si="6"/>
        <v>0</v>
      </c>
      <c r="J48" s="52">
        <f t="shared" si="6"/>
        <v>0</v>
      </c>
      <c r="K48" s="52">
        <f t="shared" si="6"/>
        <v>0</v>
      </c>
      <c r="L48" s="52">
        <f t="shared" si="6"/>
        <v>0</v>
      </c>
      <c r="M48" s="32"/>
      <c r="N48" s="75"/>
      <c r="O48" s="58">
        <f>SUM(O46:O47)</f>
        <v>20000</v>
      </c>
      <c r="R48" s="413"/>
    </row>
    <row r="49" spans="2:18" ht="24.75" customHeight="1">
      <c r="B49" s="52"/>
      <c r="C49" s="51"/>
      <c r="D49" s="51"/>
      <c r="E49" s="36"/>
      <c r="F49" s="52"/>
      <c r="G49" s="52"/>
      <c r="H49" s="52"/>
      <c r="I49" s="52"/>
      <c r="J49" s="52"/>
      <c r="K49" s="52"/>
      <c r="L49" s="52"/>
      <c r="M49" s="32"/>
      <c r="N49" s="75"/>
      <c r="O49" s="408">
        <f>O19+O26+O30+O37+O41+O45+O48</f>
        <v>271143.68596000003</v>
      </c>
      <c r="R49" s="1"/>
    </row>
  </sheetData>
  <sheetProtection/>
  <mergeCells count="16">
    <mergeCell ref="D38:D40"/>
    <mergeCell ref="D42:D44"/>
    <mergeCell ref="D46:D47"/>
    <mergeCell ref="D21:D25"/>
    <mergeCell ref="D27:D29"/>
    <mergeCell ref="D31:D32"/>
    <mergeCell ref="D34:D36"/>
    <mergeCell ref="B1:O1"/>
    <mergeCell ref="B2:O2"/>
    <mergeCell ref="G3:H3"/>
    <mergeCell ref="I3:J3"/>
    <mergeCell ref="K3:L3"/>
    <mergeCell ref="B6:C6"/>
    <mergeCell ref="D7:D10"/>
    <mergeCell ref="D12:D18"/>
    <mergeCell ref="B20:O20"/>
  </mergeCells>
  <printOptions horizontalCentered="1"/>
  <pageMargins left="0.7874015748031497" right="0.7874015748031497" top="0.4724409448818898" bottom="0.2362204724409449" header="0.5118110236220472" footer="0.1968503937007874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1.8515625" style="0" customWidth="1"/>
    <col min="3" max="3" width="10.28125" style="0" bestFit="1" customWidth="1"/>
    <col min="4" max="4" width="11.57421875" style="0" bestFit="1" customWidth="1"/>
    <col min="5" max="5" width="37.8515625" style="0" customWidth="1"/>
  </cols>
  <sheetData>
    <row r="1" ht="12.75">
      <c r="A1" t="s">
        <v>67</v>
      </c>
    </row>
    <row r="4" spans="1:3" ht="12.75">
      <c r="A4" s="93" t="s">
        <v>68</v>
      </c>
      <c r="C4" s="93"/>
    </row>
    <row r="6" spans="1:15" ht="12.75">
      <c r="A6" s="460" t="s">
        <v>69</v>
      </c>
      <c r="B6" s="460" t="s">
        <v>70</v>
      </c>
      <c r="C6" s="460" t="s">
        <v>71</v>
      </c>
      <c r="D6" s="460" t="s">
        <v>72</v>
      </c>
      <c r="E6" s="459" t="s">
        <v>73</v>
      </c>
      <c r="F6" s="459" t="s">
        <v>74</v>
      </c>
      <c r="G6" s="94" t="s">
        <v>75</v>
      </c>
      <c r="H6" s="95" t="s">
        <v>76</v>
      </c>
      <c r="I6" s="460" t="s">
        <v>77</v>
      </c>
      <c r="J6" s="96" t="s">
        <v>75</v>
      </c>
      <c r="K6" s="97" t="s">
        <v>76</v>
      </c>
      <c r="L6" s="461" t="s">
        <v>78</v>
      </c>
      <c r="M6" s="425" t="s">
        <v>79</v>
      </c>
      <c r="N6" s="426"/>
      <c r="O6" s="427"/>
    </row>
    <row r="7" spans="1:15" ht="12.75">
      <c r="A7" s="460"/>
      <c r="B7" s="460"/>
      <c r="C7" s="460"/>
      <c r="D7" s="460"/>
      <c r="E7" s="459"/>
      <c r="F7" s="459"/>
      <c r="G7" s="98" t="s">
        <v>80</v>
      </c>
      <c r="H7" s="98" t="s">
        <v>80</v>
      </c>
      <c r="I7" s="460"/>
      <c r="J7" s="99" t="s">
        <v>77</v>
      </c>
      <c r="K7" s="99" t="s">
        <v>77</v>
      </c>
      <c r="L7" s="461"/>
      <c r="M7" s="415"/>
      <c r="N7" s="416"/>
      <c r="O7" s="462"/>
    </row>
    <row r="8" spans="1:15" ht="25.5">
      <c r="A8" s="430" t="s">
        <v>81</v>
      </c>
      <c r="B8" s="428" t="s">
        <v>82</v>
      </c>
      <c r="C8" s="100" t="s">
        <v>83</v>
      </c>
      <c r="D8" s="100">
        <f>4.3*1.5</f>
        <v>6.449999999999999</v>
      </c>
      <c r="E8" s="101" t="s">
        <v>84</v>
      </c>
      <c r="F8" s="100" t="s">
        <v>85</v>
      </c>
      <c r="G8" s="100">
        <v>25.27</v>
      </c>
      <c r="H8" s="100">
        <v>21.18</v>
      </c>
      <c r="I8" s="100">
        <v>46.45</v>
      </c>
      <c r="J8" s="100">
        <f aca="true" t="shared" si="0" ref="J8:J13">G8*D8</f>
        <v>162.99149999999997</v>
      </c>
      <c r="K8" s="100">
        <f aca="true" t="shared" si="1" ref="K8:K13">H8*D8</f>
        <v>136.611</v>
      </c>
      <c r="L8" s="100">
        <f aca="true" t="shared" si="2" ref="L8:L13">I8*D8</f>
        <v>299.60249999999996</v>
      </c>
      <c r="M8" s="429"/>
      <c r="N8" s="417"/>
      <c r="O8" s="418"/>
    </row>
    <row r="9" spans="1:15" ht="25.5">
      <c r="A9" s="430"/>
      <c r="B9" s="428"/>
      <c r="C9" s="100" t="s">
        <v>86</v>
      </c>
      <c r="D9" s="100">
        <f>(1.5*4+4.3*2)*0.15*0.15</f>
        <v>0.32849999999999996</v>
      </c>
      <c r="E9" s="101" t="s">
        <v>87</v>
      </c>
      <c r="F9" s="100" t="s">
        <v>88</v>
      </c>
      <c r="G9" s="100">
        <v>482.81</v>
      </c>
      <c r="H9" s="100">
        <v>499.63</v>
      </c>
      <c r="I9" s="100">
        <v>982.44</v>
      </c>
      <c r="J9" s="100">
        <f t="shared" si="0"/>
        <v>158.603085</v>
      </c>
      <c r="K9" s="100">
        <f t="shared" si="1"/>
        <v>164.12845499999997</v>
      </c>
      <c r="L9" s="100">
        <f t="shared" si="2"/>
        <v>322.73154</v>
      </c>
      <c r="M9" s="419"/>
      <c r="N9" s="420"/>
      <c r="O9" s="421"/>
    </row>
    <row r="10" spans="1:15" ht="25.5">
      <c r="A10" s="430"/>
      <c r="B10" s="428"/>
      <c r="C10" s="100" t="s">
        <v>89</v>
      </c>
      <c r="D10" s="100">
        <v>8</v>
      </c>
      <c r="E10" s="101" t="s">
        <v>90</v>
      </c>
      <c r="F10" s="100" t="s">
        <v>5</v>
      </c>
      <c r="G10" s="100">
        <v>11.82</v>
      </c>
      <c r="H10" s="100">
        <v>28.1</v>
      </c>
      <c r="I10" s="100">
        <v>39.92</v>
      </c>
      <c r="J10" s="100">
        <f t="shared" si="0"/>
        <v>94.56</v>
      </c>
      <c r="K10" s="100">
        <f t="shared" si="1"/>
        <v>224.8</v>
      </c>
      <c r="L10" s="100">
        <f t="shared" si="2"/>
        <v>319.36</v>
      </c>
      <c r="M10" s="419"/>
      <c r="N10" s="420"/>
      <c r="O10" s="421"/>
    </row>
    <row r="11" spans="1:15" ht="25.5">
      <c r="A11" s="430"/>
      <c r="B11" s="428"/>
      <c r="C11" s="100" t="s">
        <v>91</v>
      </c>
      <c r="D11" s="100">
        <f>(1.4+1.5+1.4+3.5)*0.1</f>
        <v>0.78</v>
      </c>
      <c r="E11" s="101" t="s">
        <v>92</v>
      </c>
      <c r="F11" s="100" t="s">
        <v>85</v>
      </c>
      <c r="G11" s="100">
        <v>18.81</v>
      </c>
      <c r="H11" s="100">
        <v>33.65</v>
      </c>
      <c r="I11" s="100">
        <v>52.46</v>
      </c>
      <c r="J11" s="100">
        <f t="shared" si="0"/>
        <v>14.6718</v>
      </c>
      <c r="K11" s="100">
        <f t="shared" si="1"/>
        <v>26.247</v>
      </c>
      <c r="L11" s="100">
        <f t="shared" si="2"/>
        <v>40.918800000000005</v>
      </c>
      <c r="M11" s="419"/>
      <c r="N11" s="420"/>
      <c r="O11" s="421"/>
    </row>
    <row r="12" spans="1:15" ht="12.75">
      <c r="A12" s="430"/>
      <c r="B12" s="428"/>
      <c r="C12" s="100" t="s">
        <v>93</v>
      </c>
      <c r="D12" s="100">
        <f>(1+1.5)*10*0.25</f>
        <v>6.25</v>
      </c>
      <c r="E12" s="101" t="s">
        <v>94</v>
      </c>
      <c r="F12" s="100" t="s">
        <v>95</v>
      </c>
      <c r="G12" s="100">
        <v>4.45</v>
      </c>
      <c r="H12" s="100">
        <v>0.76</v>
      </c>
      <c r="I12" s="100">
        <v>5.21</v>
      </c>
      <c r="J12" s="100">
        <f t="shared" si="0"/>
        <v>27.8125</v>
      </c>
      <c r="K12" s="100">
        <f t="shared" si="1"/>
        <v>4.75</v>
      </c>
      <c r="L12" s="100">
        <f t="shared" si="2"/>
        <v>32.5625</v>
      </c>
      <c r="M12" s="419"/>
      <c r="N12" s="420"/>
      <c r="O12" s="421"/>
    </row>
    <row r="13" spans="1:15" ht="25.5">
      <c r="A13" s="430"/>
      <c r="B13" s="428"/>
      <c r="C13" s="100" t="s">
        <v>96</v>
      </c>
      <c r="D13" s="100">
        <f>2.5*0.1</f>
        <v>0.25</v>
      </c>
      <c r="E13" s="101" t="s">
        <v>97</v>
      </c>
      <c r="F13" s="100" t="s">
        <v>88</v>
      </c>
      <c r="G13" s="100">
        <v>233.21</v>
      </c>
      <c r="H13" s="100">
        <v>72.24</v>
      </c>
      <c r="I13" s="100">
        <v>305.45</v>
      </c>
      <c r="J13" s="100">
        <f t="shared" si="0"/>
        <v>58.3025</v>
      </c>
      <c r="K13" s="100">
        <f t="shared" si="1"/>
        <v>18.06</v>
      </c>
      <c r="L13" s="100">
        <f t="shared" si="2"/>
        <v>76.3625</v>
      </c>
      <c r="M13" s="422"/>
      <c r="N13" s="423"/>
      <c r="O13" s="424"/>
    </row>
    <row r="14" spans="3:12" ht="12.75">
      <c r="C14" s="102"/>
      <c r="D14" s="102"/>
      <c r="E14" s="102"/>
      <c r="F14" s="102"/>
      <c r="G14" s="102"/>
      <c r="H14" s="102"/>
      <c r="I14" s="102"/>
      <c r="J14" s="103">
        <f>SUM(J8:J13)</f>
        <v>516.941385</v>
      </c>
      <c r="K14" s="103">
        <f>SUM(K8:K13)</f>
        <v>574.5964549999999</v>
      </c>
      <c r="L14" s="103">
        <f>SUM(L8:L13)</f>
        <v>1091.53784</v>
      </c>
    </row>
    <row r="15" spans="3:12" ht="12.75"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5" ht="25.5">
      <c r="A16" s="430" t="s">
        <v>98</v>
      </c>
      <c r="B16" s="428" t="s">
        <v>82</v>
      </c>
      <c r="C16" s="100" t="s">
        <v>83</v>
      </c>
      <c r="D16" s="100">
        <f>(1.5+1.5)*2*1.5</f>
        <v>9</v>
      </c>
      <c r="E16" s="101" t="s">
        <v>84</v>
      </c>
      <c r="F16" s="100" t="s">
        <v>85</v>
      </c>
      <c r="G16" s="100">
        <v>25.27</v>
      </c>
      <c r="H16" s="100">
        <v>21.18</v>
      </c>
      <c r="I16" s="100">
        <v>46.45</v>
      </c>
      <c r="J16" s="100">
        <f aca="true" t="shared" si="3" ref="J16:J21">G16*D16</f>
        <v>227.43</v>
      </c>
      <c r="K16" s="100">
        <f aca="true" t="shared" si="4" ref="K16:K21">H16*D16</f>
        <v>190.62</v>
      </c>
      <c r="L16" s="100">
        <f aca="true" t="shared" si="5" ref="L16:L21">I16*D16</f>
        <v>418.05</v>
      </c>
      <c r="M16" s="429"/>
      <c r="N16" s="417"/>
      <c r="O16" s="418"/>
    </row>
    <row r="17" spans="1:15" ht="25.5">
      <c r="A17" s="430"/>
      <c r="B17" s="428"/>
      <c r="C17" s="100" t="s">
        <v>86</v>
      </c>
      <c r="D17" s="100">
        <f>(6*1.5+(1.5*4*2))*0.15*0.15</f>
        <v>0.4725</v>
      </c>
      <c r="E17" s="101" t="s">
        <v>87</v>
      </c>
      <c r="F17" s="100" t="s">
        <v>88</v>
      </c>
      <c r="G17" s="100">
        <v>482.81</v>
      </c>
      <c r="H17" s="100">
        <v>499.63</v>
      </c>
      <c r="I17" s="100">
        <v>982.44</v>
      </c>
      <c r="J17" s="100">
        <f t="shared" si="3"/>
        <v>228.127725</v>
      </c>
      <c r="K17" s="100">
        <f t="shared" si="4"/>
        <v>236.07517499999997</v>
      </c>
      <c r="L17" s="100">
        <f t="shared" si="5"/>
        <v>464.2029</v>
      </c>
      <c r="M17" s="419"/>
      <c r="N17" s="420"/>
      <c r="O17" s="421"/>
    </row>
    <row r="18" spans="1:15" ht="25.5">
      <c r="A18" s="430"/>
      <c r="B18" s="428"/>
      <c r="C18" s="100" t="s">
        <v>89</v>
      </c>
      <c r="D18" s="100">
        <v>8</v>
      </c>
      <c r="E18" s="101" t="s">
        <v>90</v>
      </c>
      <c r="F18" s="100" t="s">
        <v>5</v>
      </c>
      <c r="G18" s="100">
        <v>11.82</v>
      </c>
      <c r="H18" s="100">
        <v>28.1</v>
      </c>
      <c r="I18" s="100">
        <v>39.92</v>
      </c>
      <c r="J18" s="100">
        <f t="shared" si="3"/>
        <v>94.56</v>
      </c>
      <c r="K18" s="100">
        <f t="shared" si="4"/>
        <v>224.8</v>
      </c>
      <c r="L18" s="100">
        <f t="shared" si="5"/>
        <v>319.36</v>
      </c>
      <c r="M18" s="419"/>
      <c r="N18" s="420"/>
      <c r="O18" s="421"/>
    </row>
    <row r="19" spans="1:15" ht="25.5">
      <c r="A19" s="430"/>
      <c r="B19" s="428"/>
      <c r="C19" s="100" t="s">
        <v>91</v>
      </c>
      <c r="D19" s="100">
        <f>1.5*4*0.1*2</f>
        <v>1.2000000000000002</v>
      </c>
      <c r="E19" s="101" t="s">
        <v>92</v>
      </c>
      <c r="F19" s="100" t="s">
        <v>85</v>
      </c>
      <c r="G19" s="100">
        <v>18.81</v>
      </c>
      <c r="H19" s="100">
        <v>33.65</v>
      </c>
      <c r="I19" s="100">
        <v>52.46</v>
      </c>
      <c r="J19" s="100">
        <f t="shared" si="3"/>
        <v>22.572000000000003</v>
      </c>
      <c r="K19" s="100">
        <f t="shared" si="4"/>
        <v>40.38</v>
      </c>
      <c r="L19" s="100">
        <f t="shared" si="5"/>
        <v>62.95200000000001</v>
      </c>
      <c r="M19" s="419"/>
      <c r="N19" s="420"/>
      <c r="O19" s="421"/>
    </row>
    <row r="20" spans="1:15" ht="12.75">
      <c r="A20" s="430"/>
      <c r="B20" s="428"/>
      <c r="C20" s="100" t="s">
        <v>93</v>
      </c>
      <c r="D20" s="104">
        <f>1.5*1.5*10*0.25*2</f>
        <v>11.25</v>
      </c>
      <c r="E20" s="101" t="s">
        <v>94</v>
      </c>
      <c r="F20" s="100" t="s">
        <v>95</v>
      </c>
      <c r="G20" s="100">
        <v>4.45</v>
      </c>
      <c r="H20" s="100">
        <v>0.76</v>
      </c>
      <c r="I20" s="100">
        <v>5.21</v>
      </c>
      <c r="J20" s="100">
        <f t="shared" si="3"/>
        <v>50.0625</v>
      </c>
      <c r="K20" s="100">
        <f t="shared" si="4"/>
        <v>8.55</v>
      </c>
      <c r="L20" s="100">
        <f t="shared" si="5"/>
        <v>58.6125</v>
      </c>
      <c r="M20" s="419"/>
      <c r="N20" s="420"/>
      <c r="O20" s="421"/>
    </row>
    <row r="21" spans="1:15" ht="25.5">
      <c r="A21" s="430"/>
      <c r="B21" s="428"/>
      <c r="C21" s="100" t="s">
        <v>96</v>
      </c>
      <c r="D21" s="100">
        <f>1.5*1.5*0.1*2</f>
        <v>0.45</v>
      </c>
      <c r="E21" s="101" t="s">
        <v>97</v>
      </c>
      <c r="F21" s="100" t="s">
        <v>88</v>
      </c>
      <c r="G21" s="100">
        <v>233.21</v>
      </c>
      <c r="H21" s="100">
        <v>72.24</v>
      </c>
      <c r="I21" s="100">
        <v>305.45</v>
      </c>
      <c r="J21" s="100">
        <f t="shared" si="3"/>
        <v>104.9445</v>
      </c>
      <c r="K21" s="100">
        <f t="shared" si="4"/>
        <v>32.507999999999996</v>
      </c>
      <c r="L21" s="100">
        <f t="shared" si="5"/>
        <v>137.4525</v>
      </c>
      <c r="M21" s="422"/>
      <c r="N21" s="423"/>
      <c r="O21" s="424"/>
    </row>
    <row r="22" spans="10:12" ht="12.75">
      <c r="J22" s="105">
        <f>SUM(J16:J21)</f>
        <v>727.696725</v>
      </c>
      <c r="K22" s="105">
        <f>SUM(K16:K21)</f>
        <v>732.933175</v>
      </c>
      <c r="L22" s="105">
        <f>SUM(L16:L21)</f>
        <v>1460.6299</v>
      </c>
    </row>
  </sheetData>
  <sheetProtection/>
  <mergeCells count="15">
    <mergeCell ref="A16:A21"/>
    <mergeCell ref="B16:B21"/>
    <mergeCell ref="M16:O21"/>
    <mergeCell ref="M6:O7"/>
    <mergeCell ref="A8:A13"/>
    <mergeCell ref="B8:B13"/>
    <mergeCell ref="M8:O13"/>
    <mergeCell ref="A6:A7"/>
    <mergeCell ref="B6:B7"/>
    <mergeCell ref="C6:C7"/>
    <mergeCell ref="D6:D7"/>
    <mergeCell ref="E6:E7"/>
    <mergeCell ref="F6:F7"/>
    <mergeCell ref="I6:I7"/>
    <mergeCell ref="L6:L7"/>
  </mergeCells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79">
      <selection activeCell="G103" sqref="G103"/>
    </sheetView>
  </sheetViews>
  <sheetFormatPr defaultColWidth="9.140625" defaultRowHeight="12.75"/>
  <cols>
    <col min="1" max="1" width="33.421875" style="0" customWidth="1"/>
    <col min="2" max="2" width="30.8515625" style="0" customWidth="1"/>
    <col min="3" max="3" width="20.57421875" style="0" customWidth="1"/>
    <col min="4" max="4" width="12.28125" style="0" customWidth="1"/>
    <col min="5" max="5" width="11.421875" style="0" customWidth="1"/>
    <col min="6" max="6" width="16.8515625" style="0" customWidth="1"/>
    <col min="7" max="7" width="14.421875" style="0" customWidth="1"/>
    <col min="8" max="8" width="14.7109375" style="0" customWidth="1"/>
    <col min="9" max="9" width="12.140625" style="0" customWidth="1"/>
  </cols>
  <sheetData>
    <row r="1" ht="12.75">
      <c r="A1" t="s">
        <v>240</v>
      </c>
    </row>
    <row r="3" ht="12.75">
      <c r="A3" t="s">
        <v>99</v>
      </c>
    </row>
    <row r="4" spans="1:7" ht="12.75">
      <c r="A4" s="93" t="s">
        <v>100</v>
      </c>
      <c r="B4" s="93" t="s">
        <v>101</v>
      </c>
      <c r="C4" s="93" t="s">
        <v>102</v>
      </c>
      <c r="D4" s="93" t="s">
        <v>103</v>
      </c>
      <c r="E4" s="93" t="s">
        <v>104</v>
      </c>
      <c r="F4" s="106" t="s">
        <v>70</v>
      </c>
      <c r="G4" s="106" t="s">
        <v>105</v>
      </c>
    </row>
    <row r="5" spans="1:7" ht="25.5">
      <c r="A5" s="107" t="s">
        <v>106</v>
      </c>
      <c r="B5" s="107" t="s">
        <v>107</v>
      </c>
      <c r="C5">
        <v>700</v>
      </c>
      <c r="D5">
        <v>184.01</v>
      </c>
      <c r="E5" s="156">
        <f>D5/C5</f>
        <v>0.26287142857142853</v>
      </c>
      <c r="F5" s="108" t="s">
        <v>108</v>
      </c>
      <c r="G5" s="108" t="s">
        <v>109</v>
      </c>
    </row>
    <row r="7" spans="1:7" ht="12.75">
      <c r="A7" s="93" t="s">
        <v>100</v>
      </c>
      <c r="B7" s="93" t="s">
        <v>101</v>
      </c>
      <c r="C7" s="93" t="s">
        <v>110</v>
      </c>
      <c r="D7" s="93" t="s">
        <v>103</v>
      </c>
      <c r="E7" s="93" t="s">
        <v>111</v>
      </c>
      <c r="F7" s="106" t="s">
        <v>70</v>
      </c>
      <c r="G7" s="106" t="s">
        <v>105</v>
      </c>
    </row>
    <row r="8" spans="1:7" ht="25.5">
      <c r="A8" s="93" t="s">
        <v>112</v>
      </c>
      <c r="B8" s="107" t="s">
        <v>107</v>
      </c>
      <c r="C8">
        <v>70</v>
      </c>
      <c r="D8">
        <v>184.01</v>
      </c>
      <c r="E8" s="157">
        <f>D8/C8</f>
        <v>2.6287142857142856</v>
      </c>
      <c r="F8" s="108" t="s">
        <v>108</v>
      </c>
      <c r="G8" s="108" t="s">
        <v>109</v>
      </c>
    </row>
    <row r="10" spans="1:7" ht="12.75">
      <c r="A10" s="93" t="s">
        <v>100</v>
      </c>
      <c r="B10" s="93" t="s">
        <v>101</v>
      </c>
      <c r="C10" s="93" t="s">
        <v>110</v>
      </c>
      <c r="D10" s="93" t="s">
        <v>103</v>
      </c>
      <c r="E10" s="93" t="s">
        <v>111</v>
      </c>
      <c r="F10" s="106" t="s">
        <v>70</v>
      </c>
      <c r="G10" s="106" t="s">
        <v>105</v>
      </c>
    </row>
    <row r="11" spans="1:7" ht="28.5" customHeight="1">
      <c r="A11" s="470" t="s">
        <v>113</v>
      </c>
      <c r="B11" s="110" t="s">
        <v>114</v>
      </c>
      <c r="C11">
        <v>60</v>
      </c>
      <c r="D11">
        <v>244.35</v>
      </c>
      <c r="E11" s="1">
        <f>D11/C11</f>
        <v>4.0725</v>
      </c>
      <c r="F11" s="108" t="s">
        <v>108</v>
      </c>
      <c r="G11" s="108" t="s">
        <v>115</v>
      </c>
    </row>
    <row r="12" spans="1:7" ht="25.5">
      <c r="A12" s="470"/>
      <c r="B12" s="110" t="s">
        <v>116</v>
      </c>
      <c r="C12">
        <v>110</v>
      </c>
      <c r="D12">
        <v>286.69</v>
      </c>
      <c r="E12" s="1">
        <f>D12/C12</f>
        <v>2.606272727272727</v>
      </c>
      <c r="F12" s="108" t="s">
        <v>108</v>
      </c>
      <c r="G12" s="108" t="s">
        <v>117</v>
      </c>
    </row>
    <row r="13" spans="1:7" ht="25.5">
      <c r="A13" s="470"/>
      <c r="B13" s="110" t="s">
        <v>118</v>
      </c>
      <c r="C13">
        <v>70</v>
      </c>
      <c r="D13">
        <v>184.01</v>
      </c>
      <c r="E13" s="111">
        <f>D13/C13</f>
        <v>2.6287142857142856</v>
      </c>
      <c r="F13" s="108" t="s">
        <v>108</v>
      </c>
      <c r="G13" s="108" t="s">
        <v>109</v>
      </c>
    </row>
    <row r="14" spans="1:7" ht="25.5">
      <c r="A14" s="470"/>
      <c r="B14" s="110" t="s">
        <v>119</v>
      </c>
      <c r="C14">
        <v>120</v>
      </c>
      <c r="D14">
        <v>322.45</v>
      </c>
      <c r="E14" s="1">
        <f>D14/C14</f>
        <v>2.6870833333333333</v>
      </c>
      <c r="F14" s="108" t="s">
        <v>108</v>
      </c>
      <c r="G14" s="108" t="s">
        <v>120</v>
      </c>
    </row>
    <row r="15" spans="1:6" ht="12.75">
      <c r="A15" s="470"/>
      <c r="B15" s="110" t="s">
        <v>121</v>
      </c>
      <c r="E15" s="158">
        <f>(E11+E12+E13+E14)/4</f>
        <v>2.9986425865800865</v>
      </c>
      <c r="F15" s="108"/>
    </row>
    <row r="16" spans="1:6" ht="12.75">
      <c r="A16" s="113"/>
      <c r="B16" s="110"/>
      <c r="E16" s="112"/>
      <c r="F16" s="108"/>
    </row>
    <row r="17" spans="1:6" ht="12.75">
      <c r="A17" s="109" t="s">
        <v>122</v>
      </c>
      <c r="B17" s="93" t="s">
        <v>101</v>
      </c>
      <c r="C17" s="93" t="s">
        <v>110</v>
      </c>
      <c r="D17" s="93" t="s">
        <v>103</v>
      </c>
      <c r="E17" s="93" t="s">
        <v>111</v>
      </c>
      <c r="F17" s="106" t="s">
        <v>70</v>
      </c>
    </row>
    <row r="18" spans="1:7" ht="25.5">
      <c r="A18" s="113"/>
      <c r="B18" s="110" t="s">
        <v>118</v>
      </c>
      <c r="C18">
        <v>70</v>
      </c>
      <c r="D18">
        <v>184.01</v>
      </c>
      <c r="E18" s="111">
        <f>D18/C18</f>
        <v>2.6287142857142856</v>
      </c>
      <c r="F18" s="108" t="s">
        <v>108</v>
      </c>
      <c r="G18" s="108" t="s">
        <v>109</v>
      </c>
    </row>
    <row r="19" spans="1:6" ht="12.75">
      <c r="A19" s="113"/>
      <c r="B19" s="110"/>
      <c r="E19" s="112"/>
      <c r="F19" s="108"/>
    </row>
    <row r="20" spans="1:6" ht="12.75">
      <c r="A20" s="109"/>
      <c r="B20" s="93" t="s">
        <v>101</v>
      </c>
      <c r="C20" s="93" t="s">
        <v>102</v>
      </c>
      <c r="D20" s="93" t="s">
        <v>103</v>
      </c>
      <c r="E20" s="93" t="s">
        <v>111</v>
      </c>
      <c r="F20" s="108"/>
    </row>
    <row r="21" spans="1:9" ht="12.75">
      <c r="A21" s="477" t="s">
        <v>123</v>
      </c>
      <c r="B21" s="110" t="s">
        <v>124</v>
      </c>
      <c r="C21">
        <v>1250</v>
      </c>
      <c r="D21">
        <v>270.84</v>
      </c>
      <c r="E21" s="1">
        <f>D21/C21*3.33</f>
        <v>0.7215177599999999</v>
      </c>
      <c r="F21" s="108" t="s">
        <v>108</v>
      </c>
      <c r="G21" s="108" t="s">
        <v>125</v>
      </c>
      <c r="H21" s="9" t="s">
        <v>126</v>
      </c>
      <c r="I21" s="9"/>
    </row>
    <row r="22" spans="1:9" ht="12.75">
      <c r="A22" s="477"/>
      <c r="B22" s="110" t="s">
        <v>127</v>
      </c>
      <c r="C22">
        <v>1500</v>
      </c>
      <c r="D22">
        <v>144.86</v>
      </c>
      <c r="E22" s="1">
        <f>D22/C22*3.33</f>
        <v>0.3215892</v>
      </c>
      <c r="F22" s="108" t="s">
        <v>108</v>
      </c>
      <c r="G22" s="108" t="s">
        <v>128</v>
      </c>
      <c r="H22" s="9" t="s">
        <v>129</v>
      </c>
      <c r="I22" s="9"/>
    </row>
    <row r="23" spans="1:9" ht="12.75">
      <c r="A23" s="477"/>
      <c r="B23" s="110" t="s">
        <v>77</v>
      </c>
      <c r="E23" s="158">
        <f>SUM(E21:E22)</f>
        <v>1.0431069599999998</v>
      </c>
      <c r="F23" s="108"/>
      <c r="H23" s="9"/>
      <c r="I23" s="9"/>
    </row>
    <row r="24" spans="1:9" ht="12.75">
      <c r="A24" s="155"/>
      <c r="B24" s="110"/>
      <c r="E24" s="112"/>
      <c r="F24" s="108"/>
      <c r="H24" s="9"/>
      <c r="I24" s="9"/>
    </row>
    <row r="25" spans="1:9" ht="12.75">
      <c r="A25" s="155"/>
      <c r="B25" s="93" t="s">
        <v>101</v>
      </c>
      <c r="C25" s="93" t="s">
        <v>102</v>
      </c>
      <c r="D25" s="93" t="s">
        <v>103</v>
      </c>
      <c r="E25" s="93" t="s">
        <v>104</v>
      </c>
      <c r="F25" s="108"/>
      <c r="H25" s="9"/>
      <c r="I25" s="9"/>
    </row>
    <row r="26" spans="1:9" ht="12.75">
      <c r="A26" s="477" t="s">
        <v>130</v>
      </c>
      <c r="B26" s="110" t="s">
        <v>124</v>
      </c>
      <c r="C26">
        <v>1000</v>
      </c>
      <c r="D26">
        <v>270.84</v>
      </c>
      <c r="E26" s="1">
        <f>D26/C26</f>
        <v>0.27083999999999997</v>
      </c>
      <c r="F26" s="108" t="s">
        <v>108</v>
      </c>
      <c r="G26" s="108" t="s">
        <v>125</v>
      </c>
      <c r="H26" s="9" t="s">
        <v>131</v>
      </c>
      <c r="I26" s="9"/>
    </row>
    <row r="27" spans="1:9" ht="12.75">
      <c r="A27" s="477"/>
      <c r="B27" s="110" t="s">
        <v>127</v>
      </c>
      <c r="C27">
        <v>1200</v>
      </c>
      <c r="D27">
        <v>144.86</v>
      </c>
      <c r="E27" s="1">
        <f>D27/C27</f>
        <v>0.12071666666666668</v>
      </c>
      <c r="F27" s="108" t="s">
        <v>108</v>
      </c>
      <c r="G27" s="108" t="s">
        <v>128</v>
      </c>
      <c r="H27" s="9" t="s">
        <v>132</v>
      </c>
      <c r="I27" s="9"/>
    </row>
    <row r="28" spans="1:9" ht="25.5">
      <c r="A28" s="477"/>
      <c r="B28" s="110" t="s">
        <v>133</v>
      </c>
      <c r="C28">
        <v>2500</v>
      </c>
      <c r="D28">
        <v>106.85</v>
      </c>
      <c r="E28" s="1">
        <f>D28/C28</f>
        <v>0.04274</v>
      </c>
      <c r="F28" s="108" t="s">
        <v>108</v>
      </c>
      <c r="G28" s="108" t="s">
        <v>134</v>
      </c>
      <c r="I28" s="9"/>
    </row>
    <row r="29" spans="1:6" ht="12.75">
      <c r="A29" s="477"/>
      <c r="B29" s="110" t="s">
        <v>77</v>
      </c>
      <c r="E29" s="158">
        <f>SUM(E26:E27)</f>
        <v>0.39155666666666666</v>
      </c>
      <c r="F29" s="108"/>
    </row>
    <row r="30" spans="1:6" ht="12.75">
      <c r="A30" s="113"/>
      <c r="B30" s="110"/>
      <c r="E30" s="1"/>
      <c r="F30" s="108"/>
    </row>
    <row r="31" spans="1:6" ht="12.75">
      <c r="A31" s="114"/>
      <c r="B31" s="93" t="s">
        <v>101</v>
      </c>
      <c r="C31" s="93" t="s">
        <v>135</v>
      </c>
      <c r="D31" s="93" t="s">
        <v>103</v>
      </c>
      <c r="E31" s="93" t="s">
        <v>111</v>
      </c>
      <c r="F31" s="108"/>
    </row>
    <row r="32" spans="1:7" ht="41.25" customHeight="1">
      <c r="A32" s="114" t="s">
        <v>136</v>
      </c>
      <c r="B32" s="110" t="s">
        <v>137</v>
      </c>
      <c r="C32" s="115">
        <v>1330</v>
      </c>
      <c r="D32">
        <v>214.3</v>
      </c>
      <c r="E32" s="157">
        <f>D32/C32</f>
        <v>0.16112781954887218</v>
      </c>
      <c r="F32" s="108" t="s">
        <v>108</v>
      </c>
      <c r="G32" s="108" t="s">
        <v>138</v>
      </c>
    </row>
    <row r="33" spans="1:7" ht="12.75">
      <c r="A33" s="107"/>
      <c r="B33" s="107"/>
      <c r="F33" s="108"/>
      <c r="G33" s="108"/>
    </row>
    <row r="34" spans="1:7" ht="12.75">
      <c r="A34" s="107"/>
      <c r="B34" s="116" t="s">
        <v>101</v>
      </c>
      <c r="C34" s="117" t="s">
        <v>139</v>
      </c>
      <c r="D34" s="117" t="s">
        <v>103</v>
      </c>
      <c r="E34" s="117" t="s">
        <v>140</v>
      </c>
      <c r="F34" s="118" t="s">
        <v>70</v>
      </c>
      <c r="G34" s="118" t="s">
        <v>105</v>
      </c>
    </row>
    <row r="35" spans="1:7" ht="25.5">
      <c r="A35" s="114" t="s">
        <v>141</v>
      </c>
      <c r="B35" s="107" t="s">
        <v>114</v>
      </c>
      <c r="C35">
        <v>50</v>
      </c>
      <c r="D35">
        <v>244.35</v>
      </c>
      <c r="E35" s="157">
        <f>D35/C35</f>
        <v>4.887</v>
      </c>
      <c r="F35" s="108" t="s">
        <v>108</v>
      </c>
      <c r="G35" s="108" t="s">
        <v>115</v>
      </c>
    </row>
    <row r="36" spans="1:7" ht="12.75">
      <c r="A36" s="107"/>
      <c r="B36" s="107"/>
      <c r="F36" s="108"/>
      <c r="G36" s="108"/>
    </row>
    <row r="37" spans="1:7" ht="12.75">
      <c r="A37" s="107"/>
      <c r="B37" s="114" t="s">
        <v>101</v>
      </c>
      <c r="C37" s="93" t="s">
        <v>142</v>
      </c>
      <c r="D37" s="93" t="s">
        <v>103</v>
      </c>
      <c r="E37" s="93" t="s">
        <v>143</v>
      </c>
      <c r="F37" s="118" t="s">
        <v>70</v>
      </c>
      <c r="G37" s="118" t="s">
        <v>105</v>
      </c>
    </row>
    <row r="38" spans="1:7" ht="25.5">
      <c r="A38" s="114" t="s">
        <v>144</v>
      </c>
      <c r="B38" s="110" t="s">
        <v>118</v>
      </c>
      <c r="C38">
        <v>2</v>
      </c>
      <c r="D38">
        <v>184.01</v>
      </c>
      <c r="E38" s="159">
        <f>D38/C38</f>
        <v>92.005</v>
      </c>
      <c r="F38" s="108" t="s">
        <v>108</v>
      </c>
      <c r="G38" s="108" t="s">
        <v>109</v>
      </c>
    </row>
    <row r="39" spans="1:7" ht="12.75">
      <c r="A39" s="107"/>
      <c r="B39" s="107"/>
      <c r="F39" s="108"/>
      <c r="G39" s="108"/>
    </row>
    <row r="40" spans="1:7" ht="12.75">
      <c r="A40" s="107"/>
      <c r="B40" s="116" t="s">
        <v>145</v>
      </c>
      <c r="C40" s="117" t="s">
        <v>142</v>
      </c>
      <c r="D40" s="117" t="s">
        <v>146</v>
      </c>
      <c r="E40" s="117" t="s">
        <v>143</v>
      </c>
      <c r="F40" s="108"/>
      <c r="G40" s="108"/>
    </row>
    <row r="41" spans="1:7" ht="25.5">
      <c r="A41" s="478" t="s">
        <v>147</v>
      </c>
      <c r="B41" s="110" t="s">
        <v>118</v>
      </c>
      <c r="C41">
        <v>2</v>
      </c>
      <c r="D41">
        <v>184.01</v>
      </c>
      <c r="E41">
        <f>D41/C41</f>
        <v>92.005</v>
      </c>
      <c r="F41" s="108" t="s">
        <v>108</v>
      </c>
      <c r="G41" s="108" t="s">
        <v>109</v>
      </c>
    </row>
    <row r="42" spans="1:7" ht="33" customHeight="1">
      <c r="A42" s="478"/>
      <c r="B42" s="119" t="s">
        <v>148</v>
      </c>
      <c r="C42" s="120" t="s">
        <v>8</v>
      </c>
      <c r="D42" s="4">
        <v>187.49</v>
      </c>
      <c r="E42" s="121">
        <v>367.45</v>
      </c>
      <c r="F42" s="108" t="s">
        <v>108</v>
      </c>
      <c r="G42" s="122" t="s">
        <v>149</v>
      </c>
    </row>
    <row r="43" spans="1:6" ht="12.75">
      <c r="A43" s="479" t="s">
        <v>150</v>
      </c>
      <c r="B43" s="480"/>
      <c r="C43" s="480"/>
      <c r="D43" s="480"/>
      <c r="E43" s="159">
        <f>SUM(E41:E42)</f>
        <v>459.455</v>
      </c>
      <c r="F43" s="108"/>
    </row>
    <row r="44" spans="2:10" ht="26.25" customHeight="1">
      <c r="B44" s="114" t="s">
        <v>101</v>
      </c>
      <c r="C44" s="93" t="s">
        <v>142</v>
      </c>
      <c r="D44" s="93" t="s">
        <v>103</v>
      </c>
      <c r="E44" s="93" t="s">
        <v>143</v>
      </c>
      <c r="F44" s="106" t="s">
        <v>70</v>
      </c>
      <c r="G44" s="118" t="s">
        <v>105</v>
      </c>
      <c r="J44" s="115"/>
    </row>
    <row r="45" spans="1:7" ht="25.5">
      <c r="A45" s="114" t="s">
        <v>151</v>
      </c>
      <c r="B45" s="110" t="s">
        <v>118</v>
      </c>
      <c r="C45">
        <v>0.33</v>
      </c>
      <c r="D45">
        <v>184.01</v>
      </c>
      <c r="E45" s="157">
        <f>D45/C45</f>
        <v>557.6060606060605</v>
      </c>
      <c r="F45" s="108" t="s">
        <v>108</v>
      </c>
      <c r="G45" s="108" t="s">
        <v>109</v>
      </c>
    </row>
    <row r="46" spans="1:7" ht="25.5">
      <c r="A46" s="114" t="s">
        <v>152</v>
      </c>
      <c r="B46" s="110" t="s">
        <v>118</v>
      </c>
      <c r="C46">
        <v>0.25</v>
      </c>
      <c r="D46">
        <v>184.01</v>
      </c>
      <c r="E46" s="157">
        <f>D46/C46</f>
        <v>736.04</v>
      </c>
      <c r="F46" s="108" t="s">
        <v>108</v>
      </c>
      <c r="G46" s="108" t="s">
        <v>109</v>
      </c>
    </row>
    <row r="47" spans="1:7" ht="25.5">
      <c r="A47" s="114" t="s">
        <v>153</v>
      </c>
      <c r="B47" s="110" t="s">
        <v>118</v>
      </c>
      <c r="C47">
        <v>0.15</v>
      </c>
      <c r="D47">
        <v>184.01</v>
      </c>
      <c r="E47" s="160">
        <f>D47/C47</f>
        <v>1226.7333333333333</v>
      </c>
      <c r="F47" s="108" t="s">
        <v>108</v>
      </c>
      <c r="G47" s="108" t="s">
        <v>109</v>
      </c>
    </row>
    <row r="48" spans="1:5" ht="12.75">
      <c r="A48" s="110"/>
      <c r="B48" s="110"/>
      <c r="E48" s="111"/>
    </row>
    <row r="49" spans="1:8" ht="45.75" customHeight="1">
      <c r="A49" s="481" t="s">
        <v>269</v>
      </c>
      <c r="B49" s="114" t="s">
        <v>154</v>
      </c>
      <c r="C49" s="93" t="s">
        <v>155</v>
      </c>
      <c r="D49" s="93" t="s">
        <v>72</v>
      </c>
      <c r="E49" s="112" t="s">
        <v>156</v>
      </c>
      <c r="F49" s="93" t="s">
        <v>157</v>
      </c>
      <c r="G49" s="93" t="s">
        <v>70</v>
      </c>
      <c r="H49" s="93" t="s">
        <v>71</v>
      </c>
    </row>
    <row r="50" spans="1:8" ht="12.75">
      <c r="A50" s="481"/>
      <c r="B50" s="110" t="s">
        <v>267</v>
      </c>
      <c r="C50" s="115" t="s">
        <v>5</v>
      </c>
      <c r="D50">
        <v>400</v>
      </c>
      <c r="E50" s="115">
        <v>3.56</v>
      </c>
      <c r="F50" s="1">
        <f>D50*E50</f>
        <v>1424</v>
      </c>
      <c r="G50" s="115" t="s">
        <v>158</v>
      </c>
      <c r="H50" s="2">
        <v>6193</v>
      </c>
    </row>
    <row r="51" spans="1:8" ht="12.75">
      <c r="A51" s="481"/>
      <c r="B51" s="110" t="s">
        <v>159</v>
      </c>
      <c r="C51" s="115" t="s">
        <v>1</v>
      </c>
      <c r="D51">
        <v>200</v>
      </c>
      <c r="E51" s="111">
        <v>9.58</v>
      </c>
      <c r="F51" s="1">
        <f>D51*E51</f>
        <v>1916</v>
      </c>
      <c r="G51" s="115" t="s">
        <v>158</v>
      </c>
      <c r="H51" s="2">
        <v>21141</v>
      </c>
    </row>
    <row r="52" spans="1:8" ht="12.75">
      <c r="A52" s="481"/>
      <c r="B52" s="110" t="s">
        <v>268</v>
      </c>
      <c r="C52" t="s">
        <v>8</v>
      </c>
      <c r="D52">
        <v>20</v>
      </c>
      <c r="E52" s="1">
        <v>540.67</v>
      </c>
      <c r="F52" s="1">
        <f>D52*E52</f>
        <v>10813.4</v>
      </c>
      <c r="G52" s="115" t="s">
        <v>158</v>
      </c>
      <c r="H52" s="124">
        <v>94971</v>
      </c>
    </row>
    <row r="53" spans="1:8" ht="25.5">
      <c r="A53" s="481"/>
      <c r="B53" s="107" t="s">
        <v>160</v>
      </c>
      <c r="C53" t="s">
        <v>8</v>
      </c>
      <c r="D53">
        <v>20</v>
      </c>
      <c r="E53" s="1">
        <v>107.4</v>
      </c>
      <c r="F53" s="1">
        <f>D53*E53</f>
        <v>2148</v>
      </c>
      <c r="G53" s="115" t="s">
        <v>158</v>
      </c>
      <c r="H53" s="125" t="s">
        <v>161</v>
      </c>
    </row>
    <row r="54" spans="1:8" ht="12.75">
      <c r="A54" s="107"/>
      <c r="B54" s="107" t="s">
        <v>242</v>
      </c>
      <c r="E54" s="112"/>
      <c r="F54" s="1">
        <f>SUM(F50:F53)</f>
        <v>16301.4</v>
      </c>
      <c r="H54" s="9"/>
    </row>
    <row r="55" spans="2:8" ht="12.75">
      <c r="B55" s="114" t="s">
        <v>104</v>
      </c>
      <c r="E55" s="1"/>
      <c r="F55" s="158">
        <f>F54/200</f>
        <v>81.507</v>
      </c>
      <c r="H55" s="9"/>
    </row>
    <row r="56" spans="2:8" ht="12.75">
      <c r="B56" s="107"/>
      <c r="E56" s="1"/>
      <c r="F56" s="1"/>
      <c r="H56" s="9"/>
    </row>
    <row r="57" spans="1:8" ht="12.75">
      <c r="A57" s="478" t="s">
        <v>162</v>
      </c>
      <c r="B57" s="114" t="s">
        <v>154</v>
      </c>
      <c r="C57" s="93" t="s">
        <v>155</v>
      </c>
      <c r="D57" s="93" t="s">
        <v>72</v>
      </c>
      <c r="E57" s="112" t="s">
        <v>156</v>
      </c>
      <c r="F57" s="112" t="s">
        <v>157</v>
      </c>
      <c r="G57" s="93" t="s">
        <v>70</v>
      </c>
      <c r="H57" s="126" t="s">
        <v>71</v>
      </c>
    </row>
    <row r="58" spans="1:8" ht="12.75">
      <c r="A58" s="478"/>
      <c r="B58" s="110" t="s">
        <v>163</v>
      </c>
      <c r="C58" s="115" t="s">
        <v>8</v>
      </c>
      <c r="D58">
        <v>5</v>
      </c>
      <c r="E58" s="1">
        <v>282.88</v>
      </c>
      <c r="F58" s="1">
        <f>D58*E58</f>
        <v>1414.4</v>
      </c>
      <c r="G58" s="115" t="s">
        <v>158</v>
      </c>
      <c r="H58" s="125">
        <v>94970</v>
      </c>
    </row>
    <row r="59" spans="1:8" ht="12.75">
      <c r="A59" s="478"/>
      <c r="B59" s="110" t="s">
        <v>164</v>
      </c>
      <c r="C59" s="115" t="s">
        <v>8</v>
      </c>
      <c r="D59">
        <v>5</v>
      </c>
      <c r="E59" s="1">
        <v>107.4</v>
      </c>
      <c r="F59" s="1">
        <f>D59*E59</f>
        <v>537</v>
      </c>
      <c r="G59" s="115" t="s">
        <v>158</v>
      </c>
      <c r="H59" s="125" t="s">
        <v>161</v>
      </c>
    </row>
    <row r="60" spans="2:6" ht="12.75">
      <c r="B60" s="110" t="s">
        <v>165</v>
      </c>
      <c r="E60" s="1"/>
      <c r="F60" s="112">
        <f>SUM(F58:F59)</f>
        <v>1951.4</v>
      </c>
    </row>
    <row r="61" spans="2:6" ht="12.75">
      <c r="B61" s="114" t="s">
        <v>104</v>
      </c>
      <c r="E61" s="1"/>
      <c r="F61" s="158">
        <f>F60/100</f>
        <v>19.514</v>
      </c>
    </row>
    <row r="62" spans="2:6" ht="12.75">
      <c r="B62" s="107"/>
      <c r="E62" s="1"/>
      <c r="F62" s="1"/>
    </row>
    <row r="63" spans="1:8" ht="12.75">
      <c r="A63" s="470" t="s">
        <v>166</v>
      </c>
      <c r="B63" s="114" t="s">
        <v>154</v>
      </c>
      <c r="C63" s="93" t="s">
        <v>155</v>
      </c>
      <c r="D63" s="93" t="s">
        <v>72</v>
      </c>
      <c r="E63" s="112" t="s">
        <v>156</v>
      </c>
      <c r="F63" s="112" t="s">
        <v>157</v>
      </c>
      <c r="G63" s="93" t="s">
        <v>70</v>
      </c>
      <c r="H63" s="93" t="s">
        <v>71</v>
      </c>
    </row>
    <row r="64" spans="1:8" ht="25.5">
      <c r="A64" s="470"/>
      <c r="B64" s="127" t="s">
        <v>167</v>
      </c>
      <c r="C64" s="115" t="s">
        <v>1</v>
      </c>
      <c r="D64">
        <v>2.08</v>
      </c>
      <c r="E64">
        <v>47.8</v>
      </c>
      <c r="F64" s="1">
        <f>D64*E64</f>
        <v>99.42399999999999</v>
      </c>
      <c r="G64" s="115" t="s">
        <v>168</v>
      </c>
      <c r="H64" s="124" t="s">
        <v>169</v>
      </c>
    </row>
    <row r="65" spans="1:8" ht="25.5">
      <c r="A65" s="470"/>
      <c r="B65" s="110" t="s">
        <v>170</v>
      </c>
      <c r="C65" s="115" t="s">
        <v>8</v>
      </c>
      <c r="D65">
        <v>0.102</v>
      </c>
      <c r="E65" s="111">
        <v>282.88</v>
      </c>
      <c r="F65" s="1">
        <f>D65*E65</f>
        <v>28.853759999999998</v>
      </c>
      <c r="G65" s="115" t="s">
        <v>158</v>
      </c>
      <c r="H65" s="125">
        <v>94970</v>
      </c>
    </row>
    <row r="66" spans="1:8" ht="25.5">
      <c r="A66" s="109"/>
      <c r="B66" s="107" t="s">
        <v>160</v>
      </c>
      <c r="C66" t="s">
        <v>8</v>
      </c>
      <c r="D66">
        <v>0.102</v>
      </c>
      <c r="E66" s="1">
        <v>107.4</v>
      </c>
      <c r="F66" s="1">
        <f>D66*E66</f>
        <v>10.9548</v>
      </c>
      <c r="G66" s="115" t="s">
        <v>158</v>
      </c>
      <c r="H66" s="125" t="s">
        <v>161</v>
      </c>
    </row>
    <row r="67" spans="1:6" ht="12.75">
      <c r="A67" s="468" t="s">
        <v>171</v>
      </c>
      <c r="B67" s="469"/>
      <c r="C67" s="469"/>
      <c r="D67" s="469"/>
      <c r="E67" s="469"/>
      <c r="F67" s="158">
        <f>SUM(F64:F66)</f>
        <v>139.23256</v>
      </c>
    </row>
    <row r="68" spans="1:6" ht="12.75">
      <c r="A68" s="113"/>
      <c r="B68" s="110"/>
      <c r="C68" s="115"/>
      <c r="E68" s="1"/>
      <c r="F68" s="1"/>
    </row>
    <row r="69" spans="1:8" ht="12.75">
      <c r="A69" s="470" t="s">
        <v>172</v>
      </c>
      <c r="B69" s="114" t="s">
        <v>154</v>
      </c>
      <c r="C69" s="93" t="s">
        <v>155</v>
      </c>
      <c r="D69" s="93" t="s">
        <v>72</v>
      </c>
      <c r="E69" s="112" t="s">
        <v>156</v>
      </c>
      <c r="F69" s="112" t="s">
        <v>157</v>
      </c>
      <c r="G69" s="93" t="s">
        <v>70</v>
      </c>
      <c r="H69" s="93" t="s">
        <v>71</v>
      </c>
    </row>
    <row r="70" spans="1:8" ht="25.5">
      <c r="A70" s="470"/>
      <c r="B70" s="127" t="s">
        <v>167</v>
      </c>
      <c r="C70" s="115" t="s">
        <v>1</v>
      </c>
      <c r="D70">
        <v>2.44</v>
      </c>
      <c r="E70">
        <v>47.8</v>
      </c>
      <c r="F70" s="1">
        <f>D70*E70</f>
        <v>116.63199999999999</v>
      </c>
      <c r="G70" s="115" t="s">
        <v>168</v>
      </c>
      <c r="H70" s="124" t="s">
        <v>169</v>
      </c>
    </row>
    <row r="71" spans="1:8" ht="25.5">
      <c r="A71" s="470"/>
      <c r="B71" s="110" t="s">
        <v>170</v>
      </c>
      <c r="C71" s="115" t="s">
        <v>8</v>
      </c>
      <c r="D71">
        <v>0.132</v>
      </c>
      <c r="E71" s="111">
        <v>282.88</v>
      </c>
      <c r="F71" s="1">
        <f>D71*E71</f>
        <v>37.340160000000004</v>
      </c>
      <c r="G71" s="115" t="s">
        <v>158</v>
      </c>
      <c r="H71" s="125">
        <v>94970</v>
      </c>
    </row>
    <row r="72" spans="1:8" ht="25.5">
      <c r="A72" s="109"/>
      <c r="B72" s="107" t="s">
        <v>160</v>
      </c>
      <c r="C72" t="s">
        <v>8</v>
      </c>
      <c r="D72">
        <v>0.132</v>
      </c>
      <c r="E72" s="1">
        <v>107.4</v>
      </c>
      <c r="F72" s="1">
        <f>D72*E72</f>
        <v>14.176800000000002</v>
      </c>
      <c r="G72" s="115" t="s">
        <v>158</v>
      </c>
      <c r="H72" s="125" t="s">
        <v>161</v>
      </c>
    </row>
    <row r="73" spans="1:6" ht="12.75">
      <c r="A73" s="468" t="s">
        <v>171</v>
      </c>
      <c r="B73" s="469"/>
      <c r="C73" s="469"/>
      <c r="D73" s="469"/>
      <c r="E73" s="469"/>
      <c r="F73" s="158">
        <f>SUM(F70:F72)</f>
        <v>168.14896000000002</v>
      </c>
    </row>
    <row r="74" spans="1:6" ht="12.75">
      <c r="A74" s="113"/>
      <c r="B74" s="110"/>
      <c r="C74" s="115"/>
      <c r="E74" s="1"/>
      <c r="F74" s="1"/>
    </row>
    <row r="75" spans="1:8" ht="12.75">
      <c r="A75" s="470" t="s">
        <v>173</v>
      </c>
      <c r="B75" s="114" t="s">
        <v>154</v>
      </c>
      <c r="C75" s="93" t="s">
        <v>155</v>
      </c>
      <c r="D75" s="93" t="s">
        <v>72</v>
      </c>
      <c r="E75" s="112" t="s">
        <v>156</v>
      </c>
      <c r="F75" s="112" t="s">
        <v>157</v>
      </c>
      <c r="G75" s="93" t="s">
        <v>70</v>
      </c>
      <c r="H75" s="93" t="s">
        <v>71</v>
      </c>
    </row>
    <row r="76" spans="1:8" ht="25.5">
      <c r="A76" s="470"/>
      <c r="B76" s="127" t="s">
        <v>167</v>
      </c>
      <c r="C76" s="115" t="s">
        <v>1</v>
      </c>
      <c r="D76">
        <v>3.68</v>
      </c>
      <c r="E76">
        <v>47.8</v>
      </c>
      <c r="F76" s="1">
        <f>D76*E76</f>
        <v>175.904</v>
      </c>
      <c r="G76" s="115" t="s">
        <v>168</v>
      </c>
      <c r="H76" s="124" t="s">
        <v>169</v>
      </c>
    </row>
    <row r="77" spans="1:8" ht="25.5">
      <c r="A77" s="470"/>
      <c r="B77" s="110" t="s">
        <v>170</v>
      </c>
      <c r="C77" s="115" t="s">
        <v>8</v>
      </c>
      <c r="D77">
        <v>0.208</v>
      </c>
      <c r="E77" s="111">
        <v>282.88</v>
      </c>
      <c r="F77" s="1">
        <f>D77*E77</f>
        <v>58.83904</v>
      </c>
      <c r="G77" s="115" t="s">
        <v>158</v>
      </c>
      <c r="H77" s="125">
        <v>94970</v>
      </c>
    </row>
    <row r="78" spans="1:8" ht="25.5">
      <c r="A78" s="109"/>
      <c r="B78" s="107" t="s">
        <v>160</v>
      </c>
      <c r="C78" t="s">
        <v>8</v>
      </c>
      <c r="D78">
        <v>0.208</v>
      </c>
      <c r="E78" s="1">
        <v>107.4</v>
      </c>
      <c r="F78" s="1">
        <f>D78*E78</f>
        <v>22.3392</v>
      </c>
      <c r="G78" s="115" t="s">
        <v>158</v>
      </c>
      <c r="H78" s="125" t="s">
        <v>161</v>
      </c>
    </row>
    <row r="79" spans="1:6" ht="12.75">
      <c r="A79" s="468" t="s">
        <v>171</v>
      </c>
      <c r="B79" s="469"/>
      <c r="C79" s="469"/>
      <c r="D79" s="469"/>
      <c r="E79" s="469"/>
      <c r="F79" s="158">
        <f>SUM(F76:F78)</f>
        <v>257.08224</v>
      </c>
    </row>
    <row r="80" spans="1:6" ht="12.75">
      <c r="A80" s="128"/>
      <c r="B80" s="2"/>
      <c r="C80" s="2"/>
      <c r="D80" s="2"/>
      <c r="E80" s="2"/>
      <c r="F80" s="112"/>
    </row>
    <row r="81" spans="1:7" ht="12.75">
      <c r="A81" s="470" t="s">
        <v>174</v>
      </c>
      <c r="B81" s="123" t="s">
        <v>154</v>
      </c>
      <c r="C81" s="129" t="s">
        <v>155</v>
      </c>
      <c r="D81" s="129" t="s">
        <v>72</v>
      </c>
      <c r="E81" s="130" t="s">
        <v>156</v>
      </c>
      <c r="F81" s="131" t="s">
        <v>157</v>
      </c>
      <c r="G81" s="117" t="s">
        <v>70</v>
      </c>
    </row>
    <row r="82" spans="1:8" ht="25.5">
      <c r="A82" s="470"/>
      <c r="B82" s="127" t="s">
        <v>167</v>
      </c>
      <c r="C82" s="132" t="s">
        <v>1</v>
      </c>
      <c r="D82" s="133">
        <v>5.9</v>
      </c>
      <c r="E82" s="133">
        <v>47.8</v>
      </c>
      <c r="F82" s="134">
        <f>D82*E82</f>
        <v>282.02</v>
      </c>
      <c r="G82" s="135" t="s">
        <v>168</v>
      </c>
      <c r="H82" s="124" t="s">
        <v>169</v>
      </c>
    </row>
    <row r="83" spans="1:8" ht="25.5">
      <c r="A83" s="470"/>
      <c r="B83" s="127" t="s">
        <v>170</v>
      </c>
      <c r="C83" s="132" t="s">
        <v>8</v>
      </c>
      <c r="D83" s="133">
        <v>0.208</v>
      </c>
      <c r="E83" s="136">
        <v>282.88</v>
      </c>
      <c r="F83" s="134">
        <f>D83*E83</f>
        <v>58.83904</v>
      </c>
      <c r="G83" s="135" t="s">
        <v>158</v>
      </c>
      <c r="H83" s="125">
        <v>94970</v>
      </c>
    </row>
    <row r="84" spans="1:8" ht="25.5">
      <c r="A84" s="109"/>
      <c r="B84" s="137" t="s">
        <v>160</v>
      </c>
      <c r="C84" s="133" t="s">
        <v>8</v>
      </c>
      <c r="D84" s="133">
        <v>0.208</v>
      </c>
      <c r="E84" s="134">
        <v>107.4</v>
      </c>
      <c r="F84" s="134">
        <f>D84*E84</f>
        <v>22.3392</v>
      </c>
      <c r="G84" s="135" t="s">
        <v>158</v>
      </c>
      <c r="H84" s="125" t="s">
        <v>161</v>
      </c>
    </row>
    <row r="85" spans="1:6" ht="12.75">
      <c r="A85" s="472" t="s">
        <v>171</v>
      </c>
      <c r="B85" s="473"/>
      <c r="C85" s="473"/>
      <c r="D85" s="473"/>
      <c r="E85" s="473"/>
      <c r="F85" s="158">
        <f>SUM(F82:F84)</f>
        <v>363.19824</v>
      </c>
    </row>
    <row r="86" spans="1:10" ht="12.75">
      <c r="A86" s="128"/>
      <c r="B86" s="2"/>
      <c r="C86" s="2"/>
      <c r="D86" s="2"/>
      <c r="E86" s="2"/>
      <c r="F86" s="112"/>
      <c r="J86" s="138"/>
    </row>
    <row r="87" spans="1:9" ht="22.5">
      <c r="A87" s="474" t="s">
        <v>175</v>
      </c>
      <c r="B87" s="116" t="s">
        <v>154</v>
      </c>
      <c r="C87" s="117" t="s">
        <v>155</v>
      </c>
      <c r="D87" s="117" t="s">
        <v>72</v>
      </c>
      <c r="E87" s="131" t="s">
        <v>156</v>
      </c>
      <c r="F87" s="117" t="s">
        <v>176</v>
      </c>
      <c r="G87" s="112" t="s">
        <v>157</v>
      </c>
      <c r="H87" s="93" t="s">
        <v>70</v>
      </c>
      <c r="I87" s="139" t="s">
        <v>177</v>
      </c>
    </row>
    <row r="88" spans="1:9" ht="12.75">
      <c r="A88" s="475"/>
      <c r="B88" s="110" t="s">
        <v>178</v>
      </c>
      <c r="C88" s="115" t="s">
        <v>8</v>
      </c>
      <c r="D88">
        <v>10</v>
      </c>
      <c r="E88" s="1">
        <v>78.5</v>
      </c>
      <c r="F88" s="112"/>
      <c r="G88" s="140">
        <f>D88*E88</f>
        <v>785</v>
      </c>
      <c r="H88" s="135" t="s">
        <v>158</v>
      </c>
      <c r="I88" s="141">
        <v>13186</v>
      </c>
    </row>
    <row r="89" spans="1:9" ht="12.75">
      <c r="A89" s="475"/>
      <c r="B89" s="110" t="s">
        <v>179</v>
      </c>
      <c r="C89" s="115" t="s">
        <v>8</v>
      </c>
      <c r="D89">
        <v>10</v>
      </c>
      <c r="E89" s="1">
        <v>6.18</v>
      </c>
      <c r="F89" s="112"/>
      <c r="G89" s="140">
        <f>D89*E89</f>
        <v>61.8</v>
      </c>
      <c r="H89" s="108" t="s">
        <v>108</v>
      </c>
      <c r="I89" s="108" t="s">
        <v>62</v>
      </c>
    </row>
    <row r="90" spans="1:9" ht="25.5">
      <c r="A90" s="475"/>
      <c r="B90" s="142" t="s">
        <v>180</v>
      </c>
      <c r="C90" s="143" t="s">
        <v>181</v>
      </c>
      <c r="D90" s="144">
        <v>30</v>
      </c>
      <c r="E90" s="145">
        <v>2.72</v>
      </c>
      <c r="F90" s="146">
        <v>2</v>
      </c>
      <c r="G90" s="147">
        <f>D90*E90*F90</f>
        <v>163.20000000000002</v>
      </c>
      <c r="H90" s="108" t="s">
        <v>108</v>
      </c>
      <c r="I90" s="108" t="s">
        <v>182</v>
      </c>
    </row>
    <row r="91" spans="1:10" ht="38.25">
      <c r="A91" s="475"/>
      <c r="B91" s="110" t="s">
        <v>183</v>
      </c>
      <c r="C91" s="115" t="s">
        <v>184</v>
      </c>
      <c r="D91">
        <v>0.072</v>
      </c>
      <c r="E91" s="1">
        <v>214.3</v>
      </c>
      <c r="F91" s="112"/>
      <c r="G91" s="140">
        <f>D91*E91</f>
        <v>15.429599999999999</v>
      </c>
      <c r="H91" s="108" t="s">
        <v>108</v>
      </c>
      <c r="I91" s="108" t="s">
        <v>138</v>
      </c>
      <c r="J91" s="9"/>
    </row>
    <row r="92" spans="1:10" ht="25.5">
      <c r="A92" s="113" t="s">
        <v>185</v>
      </c>
      <c r="B92" s="110" t="s">
        <v>186</v>
      </c>
      <c r="C92" s="115" t="s">
        <v>184</v>
      </c>
      <c r="D92">
        <v>0.05</v>
      </c>
      <c r="E92" s="1">
        <v>152.22</v>
      </c>
      <c r="F92" s="112"/>
      <c r="G92" s="140">
        <f>D92*E92</f>
        <v>7.611000000000001</v>
      </c>
      <c r="H92" s="108" t="s">
        <v>108</v>
      </c>
      <c r="I92" s="108" t="s">
        <v>128</v>
      </c>
      <c r="J92" s="9"/>
    </row>
    <row r="93" spans="1:8" ht="12.75">
      <c r="A93" s="476" t="s">
        <v>165</v>
      </c>
      <c r="B93" s="476"/>
      <c r="C93" s="476"/>
      <c r="D93" s="476"/>
      <c r="E93" s="476"/>
      <c r="F93" s="476"/>
      <c r="G93" s="148">
        <f>SUM(G88:G92)</f>
        <v>1033.0406</v>
      </c>
      <c r="H93" s="108"/>
    </row>
    <row r="94" spans="1:7" ht="12.75">
      <c r="A94" s="476" t="s">
        <v>111</v>
      </c>
      <c r="B94" s="476"/>
      <c r="C94" s="476"/>
      <c r="D94" s="476"/>
      <c r="E94" s="476"/>
      <c r="F94" s="476"/>
      <c r="G94" s="161">
        <f>G93/10</f>
        <v>103.30406</v>
      </c>
    </row>
    <row r="95" spans="1:5" ht="12.75">
      <c r="A95" s="124"/>
      <c r="B95" s="22"/>
      <c r="C95" s="22"/>
      <c r="D95" s="22"/>
      <c r="E95" s="22"/>
    </row>
    <row r="96" spans="1:9" ht="22.5">
      <c r="A96" s="465" t="s">
        <v>187</v>
      </c>
      <c r="B96" s="116" t="s">
        <v>154</v>
      </c>
      <c r="C96" s="117" t="s">
        <v>155</v>
      </c>
      <c r="D96" s="117" t="s">
        <v>188</v>
      </c>
      <c r="E96" s="131" t="s">
        <v>156</v>
      </c>
      <c r="F96" s="117" t="s">
        <v>176</v>
      </c>
      <c r="G96" s="149" t="s">
        <v>157</v>
      </c>
      <c r="H96" s="118" t="s">
        <v>70</v>
      </c>
      <c r="I96" s="139" t="s">
        <v>177</v>
      </c>
    </row>
    <row r="97" spans="1:10" ht="12.75">
      <c r="A97" s="466"/>
      <c r="B97" s="110" t="s">
        <v>189</v>
      </c>
      <c r="C97" s="143" t="s">
        <v>8</v>
      </c>
      <c r="D97" s="22">
        <v>5</v>
      </c>
      <c r="E97" s="1">
        <v>52.23</v>
      </c>
      <c r="F97" s="1"/>
      <c r="G97" s="140">
        <f>D97*E97</f>
        <v>261.15</v>
      </c>
      <c r="H97" s="135" t="s">
        <v>158</v>
      </c>
      <c r="I97" s="150">
        <v>4748</v>
      </c>
      <c r="J97" s="148"/>
    </row>
    <row r="98" spans="1:10" ht="25.5">
      <c r="A98" s="466"/>
      <c r="B98" s="142" t="s">
        <v>180</v>
      </c>
      <c r="C98" s="143" t="s">
        <v>181</v>
      </c>
      <c r="D98" s="151">
        <v>120</v>
      </c>
      <c r="E98" s="145">
        <v>2.75</v>
      </c>
      <c r="F98" s="145">
        <v>1</v>
      </c>
      <c r="G98" s="147">
        <f>D98*E98*F98</f>
        <v>330</v>
      </c>
      <c r="H98" s="152" t="s">
        <v>108</v>
      </c>
      <c r="I98" s="108" t="s">
        <v>182</v>
      </c>
      <c r="J98" s="148"/>
    </row>
    <row r="99" spans="1:9" ht="25.5">
      <c r="A99" s="466"/>
      <c r="B99" s="110" t="s">
        <v>190</v>
      </c>
      <c r="C99" s="143" t="s">
        <v>1</v>
      </c>
      <c r="D99" s="22">
        <v>0.33</v>
      </c>
      <c r="E99" s="22">
        <v>106.85</v>
      </c>
      <c r="F99" s="1"/>
      <c r="G99" s="140">
        <f>D99*E99</f>
        <v>35.2605</v>
      </c>
      <c r="H99" s="108" t="s">
        <v>108</v>
      </c>
      <c r="I99" s="108" t="s">
        <v>134</v>
      </c>
    </row>
    <row r="100" spans="1:9" ht="25.5">
      <c r="A100" s="124" t="s">
        <v>191</v>
      </c>
      <c r="B100" s="110" t="s">
        <v>192</v>
      </c>
      <c r="C100" s="115" t="s">
        <v>184</v>
      </c>
      <c r="D100">
        <v>0.072</v>
      </c>
      <c r="E100" s="1">
        <v>214.3</v>
      </c>
      <c r="F100" s="1"/>
      <c r="G100" s="140">
        <f>D100*E100</f>
        <v>15.429599999999999</v>
      </c>
      <c r="H100" s="108" t="s">
        <v>108</v>
      </c>
      <c r="I100" s="108" t="s">
        <v>138</v>
      </c>
    </row>
    <row r="101" spans="1:9" ht="25.5">
      <c r="A101" s="124"/>
      <c r="B101" s="110" t="s">
        <v>186</v>
      </c>
      <c r="C101" s="115" t="s">
        <v>184</v>
      </c>
      <c r="D101">
        <v>0.05</v>
      </c>
      <c r="E101" s="1">
        <v>162.65</v>
      </c>
      <c r="F101" s="1"/>
      <c r="G101" s="140">
        <f>D101*E101</f>
        <v>8.1325</v>
      </c>
      <c r="H101" s="108" t="s">
        <v>108</v>
      </c>
      <c r="I101" s="108" t="s">
        <v>128</v>
      </c>
    </row>
    <row r="102" spans="1:8" ht="12.75">
      <c r="A102" s="465" t="s">
        <v>165</v>
      </c>
      <c r="B102" s="467"/>
      <c r="C102" s="467"/>
      <c r="D102" s="467"/>
      <c r="E102" s="467"/>
      <c r="F102" s="1"/>
      <c r="G102" s="140">
        <f>SUM(G97:G101)</f>
        <v>649.9726</v>
      </c>
      <c r="H102" s="108"/>
    </row>
    <row r="103" spans="1:7" ht="12.75">
      <c r="A103" s="465" t="s">
        <v>111</v>
      </c>
      <c r="B103" s="467"/>
      <c r="C103" s="467"/>
      <c r="D103" s="467"/>
      <c r="E103" s="467"/>
      <c r="F103" s="153"/>
      <c r="G103" s="161">
        <f>G102/10</f>
        <v>64.99726000000001</v>
      </c>
    </row>
    <row r="104" spans="1:7" ht="12.75">
      <c r="A104" s="465" t="s">
        <v>193</v>
      </c>
      <c r="B104" s="22" t="s">
        <v>194</v>
      </c>
      <c r="C104" t="s">
        <v>155</v>
      </c>
      <c r="D104" t="s">
        <v>72</v>
      </c>
      <c r="E104" s="22" t="s">
        <v>195</v>
      </c>
      <c r="G104" s="105"/>
    </row>
    <row r="105" spans="1:9" ht="12.75">
      <c r="A105" s="465"/>
      <c r="B105" s="22" t="s">
        <v>196</v>
      </c>
      <c r="C105" s="143" t="s">
        <v>85</v>
      </c>
      <c r="D105" s="22">
        <v>1</v>
      </c>
      <c r="E105" s="22">
        <v>0.485</v>
      </c>
      <c r="F105" s="153">
        <f>E105*D105</f>
        <v>0.485</v>
      </c>
      <c r="G105" s="105"/>
      <c r="H105" s="135" t="s">
        <v>168</v>
      </c>
      <c r="I105" s="115" t="s">
        <v>197</v>
      </c>
    </row>
    <row r="106" spans="1:9" ht="12.75">
      <c r="A106" s="465"/>
      <c r="B106" s="110" t="s">
        <v>247</v>
      </c>
      <c r="C106" s="143" t="s">
        <v>184</v>
      </c>
      <c r="D106">
        <v>25.27</v>
      </c>
      <c r="E106" s="1">
        <v>0.05</v>
      </c>
      <c r="F106" s="1">
        <f>E106*D106</f>
        <v>1.2635</v>
      </c>
      <c r="H106" s="115"/>
      <c r="I106" s="125"/>
    </row>
    <row r="107" spans="2:7" ht="12.75">
      <c r="B107" s="110"/>
      <c r="E107" s="1"/>
      <c r="G107" s="154">
        <f>F106+F105</f>
        <v>1.7485</v>
      </c>
    </row>
    <row r="108" spans="1:8" ht="12.75">
      <c r="A108" s="93" t="s">
        <v>198</v>
      </c>
      <c r="B108" s="110"/>
      <c r="E108" s="1"/>
      <c r="H108" s="148"/>
    </row>
    <row r="109" spans="1:5" ht="12.75">
      <c r="A109" s="115" t="s">
        <v>199</v>
      </c>
      <c r="B109" s="110"/>
      <c r="E109" s="1"/>
    </row>
    <row r="110" spans="1:5" ht="12.75">
      <c r="A110" t="s">
        <v>200</v>
      </c>
      <c r="B110" s="107"/>
      <c r="E110" s="1"/>
    </row>
    <row r="111" spans="1:5" ht="12.75">
      <c r="A111" s="115" t="s">
        <v>201</v>
      </c>
      <c r="B111" s="107"/>
      <c r="E111" s="1"/>
    </row>
    <row r="112" spans="1:2" ht="12.75">
      <c r="A112" t="s">
        <v>202</v>
      </c>
      <c r="B112" s="107"/>
    </row>
    <row r="113" spans="1:12" ht="12.75">
      <c r="A113" s="115" t="s">
        <v>203</v>
      </c>
      <c r="L113" s="1"/>
    </row>
    <row r="114" ht="12.75">
      <c r="A114" s="115" t="s">
        <v>204</v>
      </c>
    </row>
    <row r="115" ht="12.75">
      <c r="A115" t="s">
        <v>205</v>
      </c>
    </row>
    <row r="117" ht="12.75">
      <c r="A117" s="93" t="s">
        <v>206</v>
      </c>
    </row>
    <row r="118" spans="1:2" ht="15.75">
      <c r="A118" s="471" t="s">
        <v>10</v>
      </c>
      <c r="B118" s="471"/>
    </row>
    <row r="120" spans="1:8" ht="25.5">
      <c r="A120" s="125" t="s">
        <v>71</v>
      </c>
      <c r="B120" s="125" t="s">
        <v>73</v>
      </c>
      <c r="C120" s="125" t="s">
        <v>155</v>
      </c>
      <c r="D120" s="125" t="s">
        <v>207</v>
      </c>
      <c r="E120" s="125" t="s">
        <v>208</v>
      </c>
      <c r="F120" s="125" t="s">
        <v>77</v>
      </c>
      <c r="G120" s="162" t="s">
        <v>209</v>
      </c>
      <c r="H120" s="162" t="s">
        <v>210</v>
      </c>
    </row>
    <row r="121" spans="1:8" ht="24" customHeight="1">
      <c r="A121" s="125">
        <v>111602</v>
      </c>
      <c r="B121" s="163" t="s">
        <v>211</v>
      </c>
      <c r="C121" s="125" t="s">
        <v>88</v>
      </c>
      <c r="D121" s="164">
        <v>0</v>
      </c>
      <c r="E121" s="164">
        <v>50.36</v>
      </c>
      <c r="F121" s="164">
        <v>50.36</v>
      </c>
      <c r="G121" s="165"/>
      <c r="H121" s="165"/>
    </row>
    <row r="122" spans="1:8" ht="25.5">
      <c r="A122" s="125">
        <v>111604</v>
      </c>
      <c r="B122" s="163" t="s">
        <v>212</v>
      </c>
      <c r="C122" s="125" t="s">
        <v>88</v>
      </c>
      <c r="D122" s="164">
        <v>0</v>
      </c>
      <c r="E122" s="164">
        <v>100.72</v>
      </c>
      <c r="F122" s="164">
        <v>100.72</v>
      </c>
      <c r="G122" s="165"/>
      <c r="H122" s="165"/>
    </row>
    <row r="123" spans="1:8" ht="25.5">
      <c r="A123" s="125">
        <v>111606</v>
      </c>
      <c r="B123" s="163" t="s">
        <v>213</v>
      </c>
      <c r="C123" s="125" t="s">
        <v>88</v>
      </c>
      <c r="D123" s="164">
        <v>0</v>
      </c>
      <c r="E123" s="164">
        <v>69.56</v>
      </c>
      <c r="F123" s="164">
        <v>69.56</v>
      </c>
      <c r="G123" s="165"/>
      <c r="H123" s="165"/>
    </row>
    <row r="124" spans="1:8" ht="38.25">
      <c r="A124" s="125">
        <v>111608</v>
      </c>
      <c r="B124" s="163" t="s">
        <v>214</v>
      </c>
      <c r="C124" s="125" t="s">
        <v>88</v>
      </c>
      <c r="D124" s="164">
        <v>35.85</v>
      </c>
      <c r="E124" s="164">
        <v>76.8</v>
      </c>
      <c r="F124" s="164">
        <v>112.65</v>
      </c>
      <c r="G124" s="165"/>
      <c r="H124" s="165"/>
    </row>
    <row r="125" spans="1:8" ht="25.5">
      <c r="A125" s="125">
        <v>111622</v>
      </c>
      <c r="B125" s="163" t="s">
        <v>215</v>
      </c>
      <c r="C125" s="125" t="s">
        <v>85</v>
      </c>
      <c r="D125" s="164">
        <v>12.24</v>
      </c>
      <c r="E125" s="164">
        <v>0</v>
      </c>
      <c r="F125" s="164">
        <v>12.24</v>
      </c>
      <c r="G125" s="165"/>
      <c r="H125" s="165"/>
    </row>
    <row r="126" spans="1:8" ht="12.75">
      <c r="A126" s="9"/>
      <c r="B126" s="9"/>
      <c r="C126" s="9"/>
      <c r="D126" s="9"/>
      <c r="E126" s="9"/>
      <c r="F126" s="9"/>
      <c r="G126" s="9"/>
      <c r="H126" s="9"/>
    </row>
    <row r="127" spans="1:8" ht="12.75">
      <c r="A127" s="9"/>
      <c r="B127" s="9"/>
      <c r="C127" s="9"/>
      <c r="D127" s="9"/>
      <c r="E127" s="9"/>
      <c r="F127" s="9"/>
      <c r="G127" s="9"/>
      <c r="H127" s="9"/>
    </row>
    <row r="128" spans="1:8" ht="15.75">
      <c r="A128" s="463" t="s">
        <v>10</v>
      </c>
      <c r="B128" s="463"/>
      <c r="C128" s="9"/>
      <c r="D128" s="9"/>
      <c r="E128" s="9"/>
      <c r="F128" s="9"/>
      <c r="G128" s="9"/>
      <c r="H128" s="9"/>
    </row>
    <row r="129" spans="1:8" ht="12.75">
      <c r="A129" s="9"/>
      <c r="B129" s="9"/>
      <c r="C129" s="9"/>
      <c r="D129" s="9"/>
      <c r="E129" s="9"/>
      <c r="F129" s="9"/>
      <c r="G129" s="9"/>
      <c r="H129" s="9"/>
    </row>
    <row r="130" spans="1:8" ht="25.5">
      <c r="A130" s="125" t="s">
        <v>71</v>
      </c>
      <c r="B130" s="125" t="s">
        <v>73</v>
      </c>
      <c r="C130" s="125" t="s">
        <v>155</v>
      </c>
      <c r="D130" s="125" t="s">
        <v>207</v>
      </c>
      <c r="E130" s="125" t="s">
        <v>208</v>
      </c>
      <c r="F130" s="125" t="s">
        <v>77</v>
      </c>
      <c r="G130" s="162" t="s">
        <v>209</v>
      </c>
      <c r="H130" s="162" t="s">
        <v>210</v>
      </c>
    </row>
    <row r="131" spans="1:8" ht="15.75" customHeight="1">
      <c r="A131" s="125">
        <v>110110</v>
      </c>
      <c r="B131" s="163" t="s">
        <v>216</v>
      </c>
      <c r="C131" s="125" t="s">
        <v>88</v>
      </c>
      <c r="D131" s="164">
        <v>250.43</v>
      </c>
      <c r="E131" s="164">
        <v>0</v>
      </c>
      <c r="F131" s="164">
        <v>250.43</v>
      </c>
      <c r="G131" s="165"/>
      <c r="H131" s="165"/>
    </row>
    <row r="132" spans="1:8" ht="12.75">
      <c r="A132" s="125">
        <v>110113</v>
      </c>
      <c r="B132" s="163" t="s">
        <v>217</v>
      </c>
      <c r="C132" s="125" t="s">
        <v>88</v>
      </c>
      <c r="D132" s="164">
        <v>259.88</v>
      </c>
      <c r="E132" s="164">
        <v>0</v>
      </c>
      <c r="F132" s="164">
        <v>259.88</v>
      </c>
      <c r="G132" s="165"/>
      <c r="H132" s="165"/>
    </row>
    <row r="133" spans="1:8" ht="12.75">
      <c r="A133" s="125">
        <v>110116</v>
      </c>
      <c r="B133" s="163" t="s">
        <v>218</v>
      </c>
      <c r="C133" s="125" t="s">
        <v>88</v>
      </c>
      <c r="D133" s="164">
        <v>266.44</v>
      </c>
      <c r="E133" s="164">
        <v>0</v>
      </c>
      <c r="F133" s="164">
        <v>266.44</v>
      </c>
      <c r="G133" s="165"/>
      <c r="H133" s="165"/>
    </row>
    <row r="134" spans="1:8" ht="12.75">
      <c r="A134" s="125">
        <v>110117</v>
      </c>
      <c r="B134" s="163" t="s">
        <v>219</v>
      </c>
      <c r="C134" s="125" t="s">
        <v>88</v>
      </c>
      <c r="D134" s="164">
        <v>275.63</v>
      </c>
      <c r="E134" s="164">
        <v>0</v>
      </c>
      <c r="F134" s="164">
        <v>275.63</v>
      </c>
      <c r="G134" s="165"/>
      <c r="H134" s="165"/>
    </row>
    <row r="135" spans="1:8" ht="12.75">
      <c r="A135" s="125">
        <v>110119</v>
      </c>
      <c r="B135" s="163" t="s">
        <v>220</v>
      </c>
      <c r="C135" s="125" t="s">
        <v>88</v>
      </c>
      <c r="D135" s="164">
        <v>284.81</v>
      </c>
      <c r="E135" s="164">
        <v>0</v>
      </c>
      <c r="F135" s="164">
        <v>284.81</v>
      </c>
      <c r="G135" s="165"/>
      <c r="H135" s="165"/>
    </row>
    <row r="136" spans="1:8" ht="12.75">
      <c r="A136" s="9"/>
      <c r="B136" s="9"/>
      <c r="C136" s="9"/>
      <c r="D136" s="9"/>
      <c r="E136" s="9"/>
      <c r="F136" s="9"/>
      <c r="G136" s="9"/>
      <c r="H136" s="9"/>
    </row>
    <row r="137" spans="1:8" ht="15.75">
      <c r="A137" s="463" t="s">
        <v>10</v>
      </c>
      <c r="B137" s="463"/>
      <c r="C137" s="9"/>
      <c r="D137" s="9"/>
      <c r="E137" s="9"/>
      <c r="F137" s="9"/>
      <c r="G137" s="9"/>
      <c r="H137" s="9"/>
    </row>
    <row r="138" spans="1:8" ht="12.75">
      <c r="A138" s="9"/>
      <c r="B138" s="9"/>
      <c r="C138" s="9"/>
      <c r="D138" s="9"/>
      <c r="E138" s="9"/>
      <c r="F138" s="9"/>
      <c r="G138" s="9"/>
      <c r="H138" s="9"/>
    </row>
    <row r="139" spans="1:8" ht="25.5">
      <c r="A139" s="125" t="s">
        <v>71</v>
      </c>
      <c r="B139" s="125" t="s">
        <v>73</v>
      </c>
      <c r="C139" s="125" t="s">
        <v>155</v>
      </c>
      <c r="D139" s="125" t="s">
        <v>207</v>
      </c>
      <c r="E139" s="125" t="s">
        <v>208</v>
      </c>
      <c r="F139" s="125" t="s">
        <v>77</v>
      </c>
      <c r="G139" s="162" t="s">
        <v>209</v>
      </c>
      <c r="H139" s="162" t="s">
        <v>210</v>
      </c>
    </row>
    <row r="140" spans="1:8" ht="25.5">
      <c r="A140" s="125">
        <v>90102</v>
      </c>
      <c r="B140" s="163" t="s">
        <v>92</v>
      </c>
      <c r="C140" s="125" t="s">
        <v>85</v>
      </c>
      <c r="D140" s="164">
        <v>17.04</v>
      </c>
      <c r="E140" s="164">
        <v>33.39</v>
      </c>
      <c r="F140" s="164">
        <v>50.43</v>
      </c>
      <c r="G140" s="165"/>
      <c r="H140" s="165"/>
    </row>
    <row r="141" spans="1:8" ht="25.5">
      <c r="A141" s="125">
        <v>90103</v>
      </c>
      <c r="B141" s="163" t="s">
        <v>221</v>
      </c>
      <c r="C141" s="125" t="s">
        <v>85</v>
      </c>
      <c r="D141" s="164">
        <v>69.03</v>
      </c>
      <c r="E141" s="164">
        <v>38.54</v>
      </c>
      <c r="F141" s="164">
        <v>107.57</v>
      </c>
      <c r="G141" s="165"/>
      <c r="H141" s="165"/>
    </row>
    <row r="142" spans="1:8" ht="25.5">
      <c r="A142" s="125">
        <v>90104</v>
      </c>
      <c r="B142" s="163" t="s">
        <v>222</v>
      </c>
      <c r="C142" s="125" t="s">
        <v>85</v>
      </c>
      <c r="D142" s="164">
        <v>24.01</v>
      </c>
      <c r="E142" s="164">
        <v>30.83</v>
      </c>
      <c r="F142" s="164">
        <v>54.84</v>
      </c>
      <c r="G142" s="165"/>
      <c r="H142" s="165"/>
    </row>
    <row r="143" spans="1:8" ht="12.75">
      <c r="A143" s="9"/>
      <c r="B143" s="9"/>
      <c r="C143" s="9"/>
      <c r="D143" s="9"/>
      <c r="E143" s="9"/>
      <c r="F143" s="9"/>
      <c r="G143" s="9"/>
      <c r="H143" s="9"/>
    </row>
    <row r="144" spans="1:8" ht="15.75">
      <c r="A144" s="463" t="s">
        <v>10</v>
      </c>
      <c r="B144" s="463"/>
      <c r="C144" s="9"/>
      <c r="D144" s="9"/>
      <c r="E144" s="9"/>
      <c r="F144" s="9"/>
      <c r="G144" s="9"/>
      <c r="H144" s="9"/>
    </row>
    <row r="145" spans="1:8" ht="12.75">
      <c r="A145" s="9"/>
      <c r="B145" s="9"/>
      <c r="C145" s="9"/>
      <c r="D145" s="9"/>
      <c r="E145" s="9"/>
      <c r="F145" s="9"/>
      <c r="G145" s="9"/>
      <c r="H145" s="9"/>
    </row>
    <row r="146" spans="1:8" ht="25.5">
      <c r="A146" s="162" t="s">
        <v>71</v>
      </c>
      <c r="B146" s="162" t="s">
        <v>73</v>
      </c>
      <c r="C146" s="162" t="s">
        <v>155</v>
      </c>
      <c r="D146" s="162" t="s">
        <v>207</v>
      </c>
      <c r="E146" s="162" t="s">
        <v>208</v>
      </c>
      <c r="F146" s="162" t="s">
        <v>77</v>
      </c>
      <c r="G146" s="162" t="s">
        <v>209</v>
      </c>
      <c r="H146" s="162" t="s">
        <v>210</v>
      </c>
    </row>
    <row r="147" spans="1:8" ht="15.75" customHeight="1">
      <c r="A147" s="125">
        <v>140420</v>
      </c>
      <c r="B147" s="163" t="s">
        <v>223</v>
      </c>
      <c r="C147" s="125" t="s">
        <v>85</v>
      </c>
      <c r="D147" s="164">
        <v>21.9</v>
      </c>
      <c r="E147" s="164">
        <v>19.37</v>
      </c>
      <c r="F147" s="164">
        <v>41.27</v>
      </c>
      <c r="G147" s="165"/>
      <c r="H147" s="165"/>
    </row>
    <row r="148" spans="1:8" ht="25.5">
      <c r="A148" s="125">
        <v>140421</v>
      </c>
      <c r="B148" s="163" t="s">
        <v>167</v>
      </c>
      <c r="C148" s="125" t="s">
        <v>85</v>
      </c>
      <c r="D148" s="164">
        <v>25.51</v>
      </c>
      <c r="E148" s="164">
        <v>21.03</v>
      </c>
      <c r="F148" s="164">
        <v>46.54</v>
      </c>
      <c r="G148" s="165"/>
      <c r="H148" s="165"/>
    </row>
    <row r="149" spans="1:8" ht="25.5">
      <c r="A149" s="125">
        <v>140422</v>
      </c>
      <c r="B149" s="163" t="s">
        <v>224</v>
      </c>
      <c r="C149" s="125" t="s">
        <v>85</v>
      </c>
      <c r="D149" s="164">
        <v>32.49</v>
      </c>
      <c r="E149" s="164">
        <v>22.56</v>
      </c>
      <c r="F149" s="164">
        <v>55.05</v>
      </c>
      <c r="G149" s="165"/>
      <c r="H149" s="165"/>
    </row>
    <row r="150" spans="1:8" ht="12.75">
      <c r="A150" s="9"/>
      <c r="B150" s="9"/>
      <c r="C150" s="9"/>
      <c r="D150" s="9"/>
      <c r="E150" s="9"/>
      <c r="F150" s="9"/>
      <c r="G150" s="9"/>
      <c r="H150" s="9"/>
    </row>
    <row r="151" spans="1:8" ht="15.75">
      <c r="A151" s="463" t="s">
        <v>10</v>
      </c>
      <c r="B151" s="463"/>
      <c r="C151" s="9"/>
      <c r="D151" s="9"/>
      <c r="E151" s="9"/>
      <c r="F151" s="9"/>
      <c r="G151" s="9"/>
      <c r="H151" s="9"/>
    </row>
    <row r="152" spans="1:8" ht="12.75">
      <c r="A152" s="9"/>
      <c r="B152" s="9"/>
      <c r="C152" s="9"/>
      <c r="D152" s="9"/>
      <c r="E152" s="9"/>
      <c r="F152" s="9"/>
      <c r="G152" s="9"/>
      <c r="H152" s="9"/>
    </row>
    <row r="153" spans="1:8" ht="25.5">
      <c r="A153" s="125" t="s">
        <v>71</v>
      </c>
      <c r="B153" s="125" t="s">
        <v>73</v>
      </c>
      <c r="C153" s="125" t="s">
        <v>155</v>
      </c>
      <c r="D153" s="125" t="s">
        <v>207</v>
      </c>
      <c r="E153" s="125" t="s">
        <v>208</v>
      </c>
      <c r="F153" s="125" t="s">
        <v>77</v>
      </c>
      <c r="G153" s="162" t="s">
        <v>209</v>
      </c>
      <c r="H153" s="162" t="s">
        <v>210</v>
      </c>
    </row>
    <row r="154" spans="1:8" ht="24.75" customHeight="1">
      <c r="A154" s="125">
        <v>141010</v>
      </c>
      <c r="B154" s="163" t="s">
        <v>225</v>
      </c>
      <c r="C154" s="125" t="s">
        <v>85</v>
      </c>
      <c r="D154" s="164">
        <v>20.11</v>
      </c>
      <c r="E154" s="164">
        <v>19.37</v>
      </c>
      <c r="F154" s="164">
        <v>39.48</v>
      </c>
      <c r="G154" s="165"/>
      <c r="H154" s="165"/>
    </row>
    <row r="155" spans="1:8" ht="25.5">
      <c r="A155" s="125">
        <v>141011</v>
      </c>
      <c r="B155" s="163" t="s">
        <v>84</v>
      </c>
      <c r="C155" s="125" t="s">
        <v>85</v>
      </c>
      <c r="D155" s="164">
        <v>25.53</v>
      </c>
      <c r="E155" s="164">
        <v>21.03</v>
      </c>
      <c r="F155" s="164">
        <v>46.56</v>
      </c>
      <c r="G155" s="165"/>
      <c r="H155" s="165"/>
    </row>
    <row r="156" spans="1:8" ht="25.5">
      <c r="A156" s="125">
        <v>141012</v>
      </c>
      <c r="B156" s="163" t="s">
        <v>226</v>
      </c>
      <c r="C156" s="125" t="s">
        <v>85</v>
      </c>
      <c r="D156" s="164">
        <v>33.34</v>
      </c>
      <c r="E156" s="164">
        <v>21.5</v>
      </c>
      <c r="F156" s="164">
        <v>54.84</v>
      </c>
      <c r="G156" s="165"/>
      <c r="H156" s="165"/>
    </row>
    <row r="157" spans="1:8" ht="25.5">
      <c r="A157" s="125">
        <v>141013</v>
      </c>
      <c r="B157" s="163" t="s">
        <v>227</v>
      </c>
      <c r="C157" s="125" t="s">
        <v>85</v>
      </c>
      <c r="D157" s="164">
        <v>20.11</v>
      </c>
      <c r="E157" s="164">
        <v>24.92</v>
      </c>
      <c r="F157" s="164">
        <v>45.03</v>
      </c>
      <c r="G157" s="165"/>
      <c r="H157" s="165"/>
    </row>
    <row r="158" spans="1:8" ht="25.5">
      <c r="A158" s="125">
        <v>141014</v>
      </c>
      <c r="B158" s="163" t="s">
        <v>228</v>
      </c>
      <c r="C158" s="125" t="s">
        <v>85</v>
      </c>
      <c r="D158" s="164">
        <v>25.53</v>
      </c>
      <c r="E158" s="164">
        <v>27.76</v>
      </c>
      <c r="F158" s="164">
        <v>53.29</v>
      </c>
      <c r="G158" s="165"/>
      <c r="H158" s="165"/>
    </row>
    <row r="159" spans="1:8" ht="25.5">
      <c r="A159" s="125">
        <v>141015</v>
      </c>
      <c r="B159" s="163" t="s">
        <v>229</v>
      </c>
      <c r="C159" s="125" t="s">
        <v>85</v>
      </c>
      <c r="D159" s="164">
        <v>33.34</v>
      </c>
      <c r="E159" s="164">
        <v>29.7</v>
      </c>
      <c r="F159" s="164">
        <v>63.04</v>
      </c>
      <c r="G159" s="165"/>
      <c r="H159" s="165"/>
    </row>
    <row r="160" spans="1:8" ht="12.75">
      <c r="A160" s="9"/>
      <c r="B160" s="9"/>
      <c r="C160" s="9"/>
      <c r="D160" s="9"/>
      <c r="E160" s="9"/>
      <c r="F160" s="9"/>
      <c r="G160" s="9"/>
      <c r="H160" s="9"/>
    </row>
    <row r="161" spans="1:8" ht="12.75">
      <c r="A161" s="126" t="s">
        <v>199</v>
      </c>
      <c r="B161" s="9"/>
      <c r="C161" s="9"/>
      <c r="D161" s="9"/>
      <c r="E161" s="9"/>
      <c r="F161" s="9"/>
      <c r="G161" s="9"/>
      <c r="H161" s="9"/>
    </row>
    <row r="162" spans="1:8" ht="12.75">
      <c r="A162" s="166" t="s">
        <v>230</v>
      </c>
      <c r="B162" s="9"/>
      <c r="C162" s="9"/>
      <c r="D162" s="9"/>
      <c r="E162" s="9"/>
      <c r="F162" s="9"/>
      <c r="G162" s="9"/>
      <c r="H162" s="9"/>
    </row>
    <row r="163" spans="1:8" ht="12.75">
      <c r="A163" s="166" t="s">
        <v>231</v>
      </c>
      <c r="B163" s="9"/>
      <c r="C163" s="9"/>
      <c r="D163" s="9"/>
      <c r="E163" s="9"/>
      <c r="F163" s="9"/>
      <c r="G163" s="9"/>
      <c r="H163" s="9"/>
    </row>
    <row r="164" spans="1:8" ht="12.75">
      <c r="A164" s="166" t="s">
        <v>232</v>
      </c>
      <c r="B164" s="9"/>
      <c r="C164" s="9"/>
      <c r="D164" s="9"/>
      <c r="E164" s="9"/>
      <c r="F164" s="9"/>
      <c r="G164" s="9"/>
      <c r="H164" s="9"/>
    </row>
    <row r="165" spans="1:8" ht="12.75">
      <c r="A165" s="166" t="s">
        <v>233</v>
      </c>
      <c r="B165" s="9"/>
      <c r="C165" s="9"/>
      <c r="D165" s="9"/>
      <c r="E165" s="9"/>
      <c r="F165" s="9"/>
      <c r="G165" s="9"/>
      <c r="H165" s="9"/>
    </row>
    <row r="166" spans="1:8" ht="12.75">
      <c r="A166" s="166" t="s">
        <v>234</v>
      </c>
      <c r="B166" s="9"/>
      <c r="C166" s="9"/>
      <c r="D166" s="9"/>
      <c r="E166" s="9"/>
      <c r="F166" s="9"/>
      <c r="G166" s="9"/>
      <c r="H166" s="9"/>
    </row>
    <row r="167" spans="1:8" ht="12.75">
      <c r="A167" s="9"/>
      <c r="B167" s="9"/>
      <c r="C167" s="9"/>
      <c r="D167" s="9"/>
      <c r="E167" s="9"/>
      <c r="F167" s="9"/>
      <c r="G167" s="9"/>
      <c r="H167" s="9"/>
    </row>
    <row r="168" spans="1:8" ht="25.5">
      <c r="A168" s="162" t="s">
        <v>235</v>
      </c>
      <c r="B168" s="162" t="s">
        <v>73</v>
      </c>
      <c r="C168" s="162" t="s">
        <v>155</v>
      </c>
      <c r="D168" s="162" t="s">
        <v>207</v>
      </c>
      <c r="E168" s="162" t="s">
        <v>208</v>
      </c>
      <c r="F168" s="162" t="s">
        <v>77</v>
      </c>
      <c r="G168" s="162" t="s">
        <v>209</v>
      </c>
      <c r="H168" s="162" t="s">
        <v>210</v>
      </c>
    </row>
    <row r="169" spans="1:8" ht="12.75">
      <c r="A169" s="167">
        <v>110110</v>
      </c>
      <c r="B169" s="168" t="s">
        <v>216</v>
      </c>
      <c r="C169" s="167" t="s">
        <v>88</v>
      </c>
      <c r="D169" s="169">
        <v>250.43</v>
      </c>
      <c r="E169" s="169">
        <v>0</v>
      </c>
      <c r="F169" s="169">
        <v>250.43</v>
      </c>
      <c r="G169" s="170"/>
      <c r="H169" s="170"/>
    </row>
    <row r="170" spans="1:8" ht="12.75">
      <c r="A170" s="167">
        <v>110113</v>
      </c>
      <c r="B170" s="168" t="s">
        <v>217</v>
      </c>
      <c r="C170" s="167" t="s">
        <v>88</v>
      </c>
      <c r="D170" s="169">
        <v>259.88</v>
      </c>
      <c r="E170" s="169">
        <v>0</v>
      </c>
      <c r="F170" s="169">
        <v>259.88</v>
      </c>
      <c r="G170" s="170"/>
      <c r="H170" s="170"/>
    </row>
    <row r="171" spans="1:8" ht="12.75">
      <c r="A171" s="9"/>
      <c r="B171" s="9"/>
      <c r="C171" s="9"/>
      <c r="D171" s="9"/>
      <c r="E171" s="9"/>
      <c r="F171" s="9"/>
      <c r="G171" s="9"/>
      <c r="H171" s="9"/>
    </row>
    <row r="172" spans="1:8" ht="24.75" customHeight="1">
      <c r="A172" s="9"/>
      <c r="B172" s="9"/>
      <c r="C172" s="9"/>
      <c r="D172" s="9"/>
      <c r="E172" s="9"/>
      <c r="F172" s="9"/>
      <c r="G172" s="9"/>
      <c r="H172" s="9"/>
    </row>
    <row r="173" spans="1:8" ht="1.5" customHeight="1">
      <c r="A173" s="9"/>
      <c r="B173" s="166" t="s">
        <v>236</v>
      </c>
      <c r="C173" s="9"/>
      <c r="D173" s="9"/>
      <c r="E173" s="9"/>
      <c r="F173" s="9"/>
      <c r="G173" s="9"/>
      <c r="H173" s="166" t="s">
        <v>199</v>
      </c>
    </row>
    <row r="174" spans="1:8" ht="12.75">
      <c r="A174" s="9"/>
      <c r="B174" s="9"/>
      <c r="C174" s="9"/>
      <c r="D174" s="9"/>
      <c r="E174" s="9"/>
      <c r="F174" s="9"/>
      <c r="G174" s="9"/>
      <c r="H174" s="9"/>
    </row>
    <row r="175" spans="1:8" ht="12.75">
      <c r="A175" s="9"/>
      <c r="B175" s="166" t="s">
        <v>237</v>
      </c>
      <c r="C175" s="9"/>
      <c r="D175" s="9"/>
      <c r="E175" s="9"/>
      <c r="F175" s="9"/>
      <c r="G175" s="166" t="s">
        <v>238</v>
      </c>
      <c r="H175" s="9">
        <v>2.35</v>
      </c>
    </row>
    <row r="176" spans="1:8" ht="12.75">
      <c r="A176" s="9"/>
      <c r="B176" s="9"/>
      <c r="C176" s="9"/>
      <c r="D176" s="9"/>
      <c r="E176" s="9"/>
      <c r="F176" s="9"/>
      <c r="G176" s="9"/>
      <c r="H176" s="9"/>
    </row>
    <row r="177" spans="1:8" ht="29.25" customHeight="1">
      <c r="A177" s="9"/>
      <c r="B177" s="464" t="s">
        <v>239</v>
      </c>
      <c r="C177" s="464"/>
      <c r="D177" s="464"/>
      <c r="E177" s="464"/>
      <c r="F177" s="464"/>
      <c r="G177" s="9"/>
      <c r="H177" s="9"/>
    </row>
    <row r="178" spans="1:8" ht="12.75">
      <c r="A178" s="9"/>
      <c r="B178" s="9"/>
      <c r="C178" s="9"/>
      <c r="D178" s="9"/>
      <c r="E178" s="9"/>
      <c r="F178" s="9"/>
      <c r="G178" s="9"/>
      <c r="H178" s="9"/>
    </row>
    <row r="179" spans="1:8" ht="12.75">
      <c r="A179" s="9"/>
      <c r="B179" s="9"/>
      <c r="C179" s="9"/>
      <c r="D179" s="9"/>
      <c r="E179" s="9"/>
      <c r="F179" s="9"/>
      <c r="G179" s="9"/>
      <c r="H179" s="9"/>
    </row>
  </sheetData>
  <sheetProtection/>
  <mergeCells count="28">
    <mergeCell ref="A73:E73"/>
    <mergeCell ref="A75:A77"/>
    <mergeCell ref="A11:A15"/>
    <mergeCell ref="A21:A23"/>
    <mergeCell ref="A26:A29"/>
    <mergeCell ref="A41:A42"/>
    <mergeCell ref="A43:D43"/>
    <mergeCell ref="A49:A53"/>
    <mergeCell ref="A57:A59"/>
    <mergeCell ref="A63:A65"/>
    <mergeCell ref="A67:E67"/>
    <mergeCell ref="A69:A71"/>
    <mergeCell ref="A118:B118"/>
    <mergeCell ref="A128:B128"/>
    <mergeCell ref="A79:E79"/>
    <mergeCell ref="A81:A83"/>
    <mergeCell ref="A85:E85"/>
    <mergeCell ref="A87:A91"/>
    <mergeCell ref="A93:F93"/>
    <mergeCell ref="A94:F94"/>
    <mergeCell ref="A96:A99"/>
    <mergeCell ref="A102:E102"/>
    <mergeCell ref="A103:E103"/>
    <mergeCell ref="A104:A106"/>
    <mergeCell ref="A137:B137"/>
    <mergeCell ref="A144:B144"/>
    <mergeCell ref="A151:B151"/>
    <mergeCell ref="B177:F177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453"/>
  <sheetViews>
    <sheetView zoomScale="65" zoomScaleNormal="65" zoomScalePageLayoutView="0" workbookViewId="0" topLeftCell="A1">
      <selection activeCell="E3" sqref="E3:O3"/>
    </sheetView>
  </sheetViews>
  <sheetFormatPr defaultColWidth="9.140625" defaultRowHeight="12.75"/>
  <cols>
    <col min="1" max="1" width="8.7109375" style="329" customWidth="1"/>
    <col min="2" max="2" width="47.00390625" style="224" customWidth="1"/>
    <col min="3" max="3" width="14.57421875" style="224" customWidth="1"/>
    <col min="4" max="4" width="11.8515625" style="224" customWidth="1"/>
    <col min="5" max="5" width="13.140625" style="224" customWidth="1"/>
    <col min="6" max="6" width="13.421875" style="224" customWidth="1"/>
    <col min="7" max="8" width="12.8515625" style="224" customWidth="1"/>
    <col min="9" max="9" width="13.421875" style="224" customWidth="1"/>
    <col min="10" max="10" width="14.57421875" style="224" customWidth="1"/>
    <col min="11" max="14" width="11.7109375" style="224" customWidth="1"/>
    <col min="15" max="15" width="11.28125" style="224" customWidth="1"/>
    <col min="16" max="16" width="15.140625" style="224" bestFit="1" customWidth="1"/>
    <col min="17" max="17" width="22.57421875" style="224" customWidth="1"/>
    <col min="18" max="18" width="7.140625" style="224" customWidth="1"/>
    <col min="19" max="19" width="15.421875" style="224" hidden="1" customWidth="1"/>
    <col min="20" max="20" width="9.7109375" style="224" hidden="1" customWidth="1"/>
    <col min="21" max="21" width="9.8515625" style="224" hidden="1" customWidth="1"/>
    <col min="22" max="22" width="10.421875" style="224" hidden="1" customWidth="1"/>
    <col min="23" max="23" width="10.57421875" style="224" bestFit="1" customWidth="1"/>
    <col min="24" max="24" width="14.421875" style="224" customWidth="1"/>
    <col min="25" max="25" width="24.57421875" style="224" customWidth="1"/>
    <col min="26" max="26" width="24.8515625" style="224" customWidth="1"/>
    <col min="27" max="16384" width="9.140625" style="224" customWidth="1"/>
  </cols>
  <sheetData>
    <row r="1" spans="1:196" s="271" customFormat="1" ht="39.75" customHeight="1" thickTop="1">
      <c r="A1" s="573" t="s">
        <v>276</v>
      </c>
      <c r="B1" s="574"/>
      <c r="C1" s="575" t="s">
        <v>298</v>
      </c>
      <c r="D1" s="576"/>
      <c r="E1" s="576"/>
      <c r="F1" s="576"/>
      <c r="G1" s="576"/>
      <c r="H1" s="576"/>
      <c r="I1" s="576"/>
      <c r="J1" s="577"/>
      <c r="K1" s="578" t="s">
        <v>357</v>
      </c>
      <c r="L1" s="579"/>
      <c r="M1" s="580"/>
      <c r="N1" s="581"/>
      <c r="O1" s="582"/>
      <c r="P1" s="269"/>
      <c r="Q1" s="270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</row>
    <row r="2" spans="1:17" ht="43.5" customHeight="1">
      <c r="A2" s="583" t="s">
        <v>362</v>
      </c>
      <c r="B2" s="584"/>
      <c r="C2" s="585" t="s">
        <v>299</v>
      </c>
      <c r="D2" s="586"/>
      <c r="E2" s="587" t="s">
        <v>361</v>
      </c>
      <c r="F2" s="588"/>
      <c r="G2" s="588"/>
      <c r="H2" s="588"/>
      <c r="I2" s="588"/>
      <c r="J2" s="588"/>
      <c r="K2" s="588"/>
      <c r="L2" s="588"/>
      <c r="M2" s="588"/>
      <c r="N2" s="588"/>
      <c r="O2" s="589"/>
      <c r="P2" s="272"/>
      <c r="Q2" s="273"/>
    </row>
    <row r="3" spans="1:17" ht="30.75" customHeight="1" thickBot="1">
      <c r="A3" s="590" t="s">
        <v>279</v>
      </c>
      <c r="B3" s="591"/>
      <c r="C3" s="592" t="s">
        <v>300</v>
      </c>
      <c r="D3" s="593"/>
      <c r="E3" s="594" t="s">
        <v>356</v>
      </c>
      <c r="F3" s="595"/>
      <c r="G3" s="595"/>
      <c r="H3" s="595"/>
      <c r="I3" s="595"/>
      <c r="J3" s="595"/>
      <c r="K3" s="595"/>
      <c r="L3" s="595"/>
      <c r="M3" s="595"/>
      <c r="N3" s="595"/>
      <c r="O3" s="596"/>
      <c r="P3" s="274"/>
      <c r="Q3" s="275"/>
    </row>
    <row r="4" spans="1:17" ht="24.75" customHeight="1" thickBot="1">
      <c r="A4" s="27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</row>
    <row r="5" spans="1:17" s="280" customFormat="1" ht="24.75" customHeight="1" thickBot="1">
      <c r="A5" s="597" t="s">
        <v>284</v>
      </c>
      <c r="B5" s="278" t="s">
        <v>301</v>
      </c>
      <c r="C5" s="279" t="s">
        <v>302</v>
      </c>
      <c r="D5" s="599" t="s">
        <v>358</v>
      </c>
      <c r="E5" s="600"/>
      <c r="F5" s="600"/>
      <c r="G5" s="600"/>
      <c r="H5" s="600"/>
      <c r="I5" s="601"/>
      <c r="J5" s="600"/>
      <c r="K5" s="600"/>
      <c r="L5" s="600"/>
      <c r="M5" s="600"/>
      <c r="N5" s="600"/>
      <c r="O5" s="602"/>
      <c r="P5" s="571" t="s">
        <v>303</v>
      </c>
      <c r="Q5" s="569" t="s">
        <v>304</v>
      </c>
    </row>
    <row r="6" spans="1:17" s="280" customFormat="1" ht="28.5" customHeight="1" thickBot="1">
      <c r="A6" s="598"/>
      <c r="B6" s="281" t="s">
        <v>305</v>
      </c>
      <c r="C6" s="282" t="s">
        <v>306</v>
      </c>
      <c r="D6" s="283">
        <v>1</v>
      </c>
      <c r="E6" s="283">
        <v>2</v>
      </c>
      <c r="F6" s="283">
        <v>3</v>
      </c>
      <c r="G6" s="283">
        <v>4</v>
      </c>
      <c r="H6" s="283">
        <v>5</v>
      </c>
      <c r="I6" s="283">
        <v>6</v>
      </c>
      <c r="J6" s="283">
        <v>7</v>
      </c>
      <c r="K6" s="283">
        <v>8</v>
      </c>
      <c r="L6" s="283">
        <v>9</v>
      </c>
      <c r="M6" s="283">
        <v>10</v>
      </c>
      <c r="N6" s="283">
        <v>11</v>
      </c>
      <c r="O6" s="284">
        <v>12</v>
      </c>
      <c r="P6" s="572"/>
      <c r="Q6" s="570"/>
    </row>
    <row r="7" spans="1:22" ht="24.75" customHeight="1">
      <c r="A7" s="564">
        <v>1</v>
      </c>
      <c r="B7" s="556" t="s">
        <v>326</v>
      </c>
      <c r="C7" s="565"/>
      <c r="D7" s="285"/>
      <c r="E7" s="285"/>
      <c r="F7" s="286"/>
      <c r="G7" s="286"/>
      <c r="H7" s="286"/>
      <c r="I7" s="286"/>
      <c r="J7" s="286"/>
      <c r="K7" s="287"/>
      <c r="L7" s="287"/>
      <c r="M7" s="287"/>
      <c r="N7" s="287"/>
      <c r="O7" s="287"/>
      <c r="P7" s="567"/>
      <c r="Q7" s="562"/>
      <c r="R7" s="280"/>
      <c r="S7" s="288">
        <f>Q9+Q19+Q29</f>
        <v>69209.08</v>
      </c>
      <c r="T7" s="289">
        <v>1049.2312319999999</v>
      </c>
      <c r="U7" s="289">
        <v>6366.168864</v>
      </c>
      <c r="V7" s="289">
        <v>34220.759904</v>
      </c>
    </row>
    <row r="8" spans="1:19" ht="9.75" customHeight="1" thickBot="1">
      <c r="A8" s="545"/>
      <c r="B8" s="557"/>
      <c r="C8" s="566"/>
      <c r="D8" s="285"/>
      <c r="E8" s="285"/>
      <c r="F8" s="290"/>
      <c r="G8" s="290"/>
      <c r="H8" s="290"/>
      <c r="I8" s="290"/>
      <c r="J8" s="290"/>
      <c r="K8" s="291"/>
      <c r="L8" s="291"/>
      <c r="M8" s="291"/>
      <c r="N8" s="291"/>
      <c r="O8" s="291"/>
      <c r="P8" s="568"/>
      <c r="Q8" s="563"/>
      <c r="R8" s="280"/>
      <c r="S8" s="280"/>
    </row>
    <row r="9" spans="1:25" ht="24.75" customHeight="1">
      <c r="A9" s="544" t="s">
        <v>342</v>
      </c>
      <c r="B9" s="546" t="s">
        <v>307</v>
      </c>
      <c r="C9" s="548"/>
      <c r="D9" s="285">
        <v>10000</v>
      </c>
      <c r="E9" s="285">
        <v>10209.05</v>
      </c>
      <c r="F9" s="285"/>
      <c r="G9" s="285"/>
      <c r="H9" s="285"/>
      <c r="I9" s="285"/>
      <c r="J9" s="285"/>
      <c r="K9" s="292"/>
      <c r="L9" s="292"/>
      <c r="M9" s="292"/>
      <c r="N9" s="292"/>
      <c r="O9" s="292"/>
      <c r="P9" s="550"/>
      <c r="Q9" s="537">
        <f>SUM(C9:P9)</f>
        <v>20209.05</v>
      </c>
      <c r="R9" s="280"/>
      <c r="S9" s="280"/>
      <c r="W9" s="373"/>
      <c r="X9" s="373"/>
      <c r="Y9" s="373"/>
    </row>
    <row r="10" spans="1:24" ht="9.75" customHeight="1" thickBot="1">
      <c r="A10" s="545"/>
      <c r="B10" s="547"/>
      <c r="C10" s="552"/>
      <c r="D10" s="293"/>
      <c r="E10" s="293"/>
      <c r="F10" s="285"/>
      <c r="G10" s="285"/>
      <c r="H10" s="285"/>
      <c r="I10" s="285"/>
      <c r="J10" s="285"/>
      <c r="K10" s="292"/>
      <c r="L10" s="292"/>
      <c r="M10" s="292"/>
      <c r="N10" s="292"/>
      <c r="O10" s="292"/>
      <c r="P10" s="553"/>
      <c r="Q10" s="538"/>
      <c r="R10" s="280"/>
      <c r="S10" s="280"/>
      <c r="W10" s="373"/>
      <c r="X10" s="373"/>
    </row>
    <row r="11" spans="1:25" ht="24.75" customHeight="1">
      <c r="A11" s="544" t="s">
        <v>343</v>
      </c>
      <c r="B11" s="546" t="s">
        <v>354</v>
      </c>
      <c r="C11" s="548"/>
      <c r="D11" s="285">
        <v>2500</v>
      </c>
      <c r="E11" s="285">
        <v>2240.49</v>
      </c>
      <c r="F11" s="285"/>
      <c r="G11" s="285"/>
      <c r="H11" s="285"/>
      <c r="I11" s="285"/>
      <c r="J11" s="285"/>
      <c r="K11" s="292"/>
      <c r="L11" s="292"/>
      <c r="M11" s="292"/>
      <c r="N11" s="292"/>
      <c r="O11" s="292"/>
      <c r="P11" s="550"/>
      <c r="Q11" s="537">
        <f>SUM(C11:P11)</f>
        <v>4740.49</v>
      </c>
      <c r="R11" s="280"/>
      <c r="S11" s="294">
        <f>Q11+Q21+Q31</f>
        <v>54363.36</v>
      </c>
      <c r="T11" s="289">
        <v>2958.233796</v>
      </c>
      <c r="U11" s="289">
        <v>17948.966167</v>
      </c>
      <c r="V11" s="289">
        <v>96483.03003699999</v>
      </c>
      <c r="W11" s="373"/>
      <c r="X11" s="373"/>
      <c r="Y11" s="373"/>
    </row>
    <row r="12" spans="1:24" ht="9.75" customHeight="1" thickBot="1">
      <c r="A12" s="545"/>
      <c r="B12" s="547"/>
      <c r="C12" s="552"/>
      <c r="D12" s="293"/>
      <c r="E12" s="293"/>
      <c r="F12" s="285"/>
      <c r="G12" s="285"/>
      <c r="H12" s="285"/>
      <c r="I12" s="285"/>
      <c r="J12" s="285"/>
      <c r="K12" s="292"/>
      <c r="L12" s="292"/>
      <c r="M12" s="292"/>
      <c r="N12" s="292"/>
      <c r="O12" s="292"/>
      <c r="P12" s="553"/>
      <c r="Q12" s="538"/>
      <c r="R12" s="280"/>
      <c r="S12" s="280"/>
      <c r="W12" s="373"/>
      <c r="X12" s="373"/>
    </row>
    <row r="13" spans="1:24" ht="24.75" customHeight="1">
      <c r="A13" s="544" t="s">
        <v>344</v>
      </c>
      <c r="B13" s="546" t="s">
        <v>336</v>
      </c>
      <c r="C13" s="548"/>
      <c r="D13" s="285">
        <v>10000</v>
      </c>
      <c r="E13" s="285">
        <v>9062.12</v>
      </c>
      <c r="F13" s="285"/>
      <c r="G13" s="285"/>
      <c r="H13" s="285"/>
      <c r="I13" s="285"/>
      <c r="J13" s="285"/>
      <c r="K13" s="292"/>
      <c r="L13" s="292"/>
      <c r="M13" s="292"/>
      <c r="N13" s="292"/>
      <c r="O13" s="292"/>
      <c r="P13" s="550"/>
      <c r="Q13" s="537">
        <f>SUM(C13:P13)</f>
        <v>19062.120000000003</v>
      </c>
      <c r="R13" s="280"/>
      <c r="S13" s="280"/>
      <c r="W13" s="373"/>
      <c r="X13" s="373"/>
    </row>
    <row r="14" spans="1:24" ht="9.75" customHeight="1" thickBot="1">
      <c r="A14" s="545"/>
      <c r="B14" s="547"/>
      <c r="C14" s="552"/>
      <c r="D14" s="293"/>
      <c r="E14" s="293"/>
      <c r="F14" s="285"/>
      <c r="G14" s="285"/>
      <c r="H14" s="285"/>
      <c r="I14" s="285"/>
      <c r="J14" s="285"/>
      <c r="K14" s="292"/>
      <c r="L14" s="292"/>
      <c r="M14" s="292"/>
      <c r="N14" s="292"/>
      <c r="O14" s="292"/>
      <c r="P14" s="553"/>
      <c r="Q14" s="538"/>
      <c r="R14" s="280"/>
      <c r="S14" s="280"/>
      <c r="W14" s="373"/>
      <c r="X14" s="373"/>
    </row>
    <row r="15" spans="1:24" ht="27" customHeight="1">
      <c r="A15" s="544" t="s">
        <v>345</v>
      </c>
      <c r="B15" s="546" t="s">
        <v>355</v>
      </c>
      <c r="C15" s="548"/>
      <c r="D15" s="295"/>
      <c r="E15" s="285"/>
      <c r="F15" s="285">
        <v>16870.77</v>
      </c>
      <c r="G15" s="285"/>
      <c r="H15" s="285"/>
      <c r="I15" s="285"/>
      <c r="J15" s="285"/>
      <c r="K15" s="292"/>
      <c r="L15" s="292"/>
      <c r="M15" s="292"/>
      <c r="N15" s="292"/>
      <c r="O15" s="292"/>
      <c r="P15" s="550"/>
      <c r="Q15" s="537">
        <f>SUM(C15:P15)</f>
        <v>16870.77</v>
      </c>
      <c r="R15" s="280"/>
      <c r="S15" s="294">
        <f>Q13+Q23+Q33</f>
        <v>107064.4</v>
      </c>
      <c r="T15" s="289">
        <v>2063.2513104</v>
      </c>
      <c r="U15" s="289">
        <v>12518.6954508</v>
      </c>
      <c r="V15" s="289">
        <v>67293.1052388</v>
      </c>
      <c r="W15" s="373"/>
      <c r="X15" s="373"/>
    </row>
    <row r="16" spans="1:24" ht="10.5" customHeight="1" thickBot="1">
      <c r="A16" s="545"/>
      <c r="B16" s="547"/>
      <c r="C16" s="552"/>
      <c r="D16" s="295"/>
      <c r="E16" s="285"/>
      <c r="F16" s="293"/>
      <c r="G16" s="285"/>
      <c r="H16" s="285"/>
      <c r="I16" s="285"/>
      <c r="J16" s="285"/>
      <c r="K16" s="292"/>
      <c r="L16" s="292"/>
      <c r="M16" s="292"/>
      <c r="N16" s="292"/>
      <c r="O16" s="292"/>
      <c r="P16" s="553"/>
      <c r="Q16" s="538"/>
      <c r="R16" s="280"/>
      <c r="S16" s="280"/>
      <c r="W16" s="373"/>
      <c r="X16" s="373"/>
    </row>
    <row r="17" spans="1:24" ht="24.75" customHeight="1">
      <c r="A17" s="544">
        <v>2</v>
      </c>
      <c r="B17" s="556" t="s">
        <v>327</v>
      </c>
      <c r="C17" s="548"/>
      <c r="D17" s="295"/>
      <c r="E17" s="285"/>
      <c r="F17" s="285"/>
      <c r="G17" s="285"/>
      <c r="H17" s="285"/>
      <c r="I17" s="285"/>
      <c r="J17" s="285"/>
      <c r="K17" s="292"/>
      <c r="L17" s="292"/>
      <c r="M17" s="292"/>
      <c r="N17" s="292"/>
      <c r="O17" s="292"/>
      <c r="P17" s="550"/>
      <c r="Q17" s="537"/>
      <c r="R17" s="280"/>
      <c r="S17" s="280"/>
      <c r="W17" s="373"/>
      <c r="X17" s="373"/>
    </row>
    <row r="18" spans="1:24" ht="9.75" customHeight="1" thickBot="1">
      <c r="A18" s="545"/>
      <c r="B18" s="557"/>
      <c r="C18" s="552"/>
      <c r="D18" s="295"/>
      <c r="E18" s="285"/>
      <c r="F18" s="285"/>
      <c r="G18" s="285"/>
      <c r="H18" s="285"/>
      <c r="I18" s="285"/>
      <c r="J18" s="285"/>
      <c r="K18" s="292"/>
      <c r="L18" s="292"/>
      <c r="M18" s="292"/>
      <c r="N18" s="292"/>
      <c r="O18" s="292"/>
      <c r="P18" s="553"/>
      <c r="Q18" s="538"/>
      <c r="R18" s="280"/>
      <c r="S18" s="280"/>
      <c r="W18" s="373"/>
      <c r="X18" s="373"/>
    </row>
    <row r="19" spans="1:24" ht="31.5" customHeight="1">
      <c r="A19" s="558" t="s">
        <v>346</v>
      </c>
      <c r="B19" s="546" t="s">
        <v>307</v>
      </c>
      <c r="C19" s="560"/>
      <c r="D19" s="295"/>
      <c r="E19" s="285">
        <v>14000</v>
      </c>
      <c r="F19" s="285">
        <v>14050.44</v>
      </c>
      <c r="G19" s="285"/>
      <c r="H19" s="285"/>
      <c r="I19" s="285"/>
      <c r="J19" s="285"/>
      <c r="K19" s="292"/>
      <c r="L19" s="292"/>
      <c r="M19" s="292"/>
      <c r="N19" s="292"/>
      <c r="O19" s="292"/>
      <c r="P19" s="296"/>
      <c r="Q19" s="537">
        <f>SUM(C19:P19)</f>
        <v>28050.440000000002</v>
      </c>
      <c r="R19" s="280"/>
      <c r="S19" s="294">
        <f>Q15+Q25+Q35</f>
        <v>40506.85</v>
      </c>
      <c r="T19" s="289">
        <v>2040.3280799999998</v>
      </c>
      <c r="U19" s="289">
        <v>12379.60966</v>
      </c>
      <c r="V19" s="289">
        <v>66545.46225999999</v>
      </c>
      <c r="W19" s="373"/>
      <c r="X19" s="373"/>
    </row>
    <row r="20" spans="1:24" ht="9.75" customHeight="1" thickBot="1">
      <c r="A20" s="559"/>
      <c r="B20" s="547"/>
      <c r="C20" s="561"/>
      <c r="D20" s="285"/>
      <c r="E20" s="293"/>
      <c r="F20" s="293"/>
      <c r="G20" s="285"/>
      <c r="H20" s="285"/>
      <c r="I20" s="285"/>
      <c r="J20" s="285"/>
      <c r="K20" s="292"/>
      <c r="L20" s="292"/>
      <c r="M20" s="292"/>
      <c r="N20" s="292"/>
      <c r="O20" s="292"/>
      <c r="P20" s="296"/>
      <c r="Q20" s="538"/>
      <c r="R20" s="280"/>
      <c r="S20" s="280"/>
      <c r="W20" s="373"/>
      <c r="X20" s="373"/>
    </row>
    <row r="21" spans="1:24" ht="31.5" customHeight="1">
      <c r="A21" s="558" t="s">
        <v>347</v>
      </c>
      <c r="B21" s="546" t="s">
        <v>354</v>
      </c>
      <c r="C21" s="560"/>
      <c r="D21" s="295"/>
      <c r="E21" s="285">
        <v>3000</v>
      </c>
      <c r="F21" s="285">
        <v>2722.03</v>
      </c>
      <c r="G21" s="285"/>
      <c r="H21" s="285"/>
      <c r="I21" s="285"/>
      <c r="J21" s="285"/>
      <c r="K21" s="292"/>
      <c r="L21" s="292"/>
      <c r="M21" s="292"/>
      <c r="N21" s="292"/>
      <c r="O21" s="292"/>
      <c r="P21" s="296"/>
      <c r="Q21" s="537">
        <f>SUM(C21:P21)</f>
        <v>5722.030000000001</v>
      </c>
      <c r="R21" s="280"/>
      <c r="S21" s="280"/>
      <c r="W21" s="373"/>
      <c r="X21" s="373"/>
    </row>
    <row r="22" spans="1:24" ht="11.25" customHeight="1" thickBot="1">
      <c r="A22" s="559"/>
      <c r="B22" s="547"/>
      <c r="C22" s="561"/>
      <c r="D22" s="285"/>
      <c r="E22" s="293"/>
      <c r="F22" s="293"/>
      <c r="G22" s="285"/>
      <c r="H22" s="285"/>
      <c r="I22" s="285"/>
      <c r="J22" s="285"/>
      <c r="K22" s="292"/>
      <c r="L22" s="292"/>
      <c r="M22" s="292"/>
      <c r="N22" s="292"/>
      <c r="O22" s="292"/>
      <c r="P22" s="296"/>
      <c r="Q22" s="538"/>
      <c r="R22" s="280"/>
      <c r="S22" s="280"/>
      <c r="W22" s="373"/>
      <c r="X22" s="373"/>
    </row>
    <row r="23" spans="1:24" ht="31.5" customHeight="1">
      <c r="A23" s="558" t="s">
        <v>348</v>
      </c>
      <c r="B23" s="546" t="s">
        <v>336</v>
      </c>
      <c r="C23" s="560"/>
      <c r="D23" s="295"/>
      <c r="E23" s="285">
        <v>17500</v>
      </c>
      <c r="F23" s="285">
        <v>15742.74</v>
      </c>
      <c r="G23" s="285"/>
      <c r="H23" s="285"/>
      <c r="I23" s="285"/>
      <c r="J23" s="285"/>
      <c r="K23" s="292"/>
      <c r="L23" s="292"/>
      <c r="M23" s="292"/>
      <c r="N23" s="292"/>
      <c r="O23" s="292"/>
      <c r="P23" s="296"/>
      <c r="Q23" s="537">
        <f>SUM(C23:P23)</f>
        <v>33242.74</v>
      </c>
      <c r="R23" s="280"/>
      <c r="S23" s="288">
        <f>SUM(S7:S20)</f>
        <v>271143.69</v>
      </c>
      <c r="W23" s="373"/>
      <c r="X23" s="373"/>
    </row>
    <row r="24" spans="1:24" ht="11.25" customHeight="1" thickBot="1">
      <c r="A24" s="559"/>
      <c r="B24" s="547"/>
      <c r="C24" s="561"/>
      <c r="D24" s="285"/>
      <c r="E24" s="293"/>
      <c r="F24" s="293"/>
      <c r="G24" s="285"/>
      <c r="H24" s="285"/>
      <c r="I24" s="285"/>
      <c r="J24" s="285"/>
      <c r="K24" s="292"/>
      <c r="L24" s="292"/>
      <c r="M24" s="292"/>
      <c r="N24" s="292"/>
      <c r="O24" s="292"/>
      <c r="P24" s="296"/>
      <c r="Q24" s="538"/>
      <c r="R24" s="280"/>
      <c r="S24" s="280"/>
      <c r="W24" s="373"/>
      <c r="X24" s="373"/>
    </row>
    <row r="25" spans="1:24" ht="31.5" customHeight="1">
      <c r="A25" s="558" t="s">
        <v>349</v>
      </c>
      <c r="B25" s="546" t="s">
        <v>355</v>
      </c>
      <c r="C25" s="560"/>
      <c r="D25" s="295"/>
      <c r="E25" s="285"/>
      <c r="F25" s="285"/>
      <c r="G25" s="285">
        <v>5969.73</v>
      </c>
      <c r="H25" s="285"/>
      <c r="I25" s="285"/>
      <c r="J25" s="285"/>
      <c r="K25" s="292"/>
      <c r="L25" s="292"/>
      <c r="M25" s="292"/>
      <c r="N25" s="292"/>
      <c r="O25" s="292"/>
      <c r="P25" s="296"/>
      <c r="Q25" s="537">
        <f>SUM(C25:P25)</f>
        <v>5969.73</v>
      </c>
      <c r="R25" s="280"/>
      <c r="S25" s="280"/>
      <c r="W25" s="373"/>
      <c r="X25" s="373"/>
    </row>
    <row r="26" spans="1:24" ht="10.5" customHeight="1" thickBot="1">
      <c r="A26" s="559"/>
      <c r="B26" s="547"/>
      <c r="C26" s="561"/>
      <c r="D26" s="295"/>
      <c r="E26" s="285"/>
      <c r="F26" s="285"/>
      <c r="G26" s="293"/>
      <c r="H26" s="285"/>
      <c r="I26" s="285"/>
      <c r="J26" s="285"/>
      <c r="K26" s="292"/>
      <c r="L26" s="292"/>
      <c r="M26" s="292"/>
      <c r="N26" s="292"/>
      <c r="O26" s="292"/>
      <c r="P26" s="296"/>
      <c r="Q26" s="538"/>
      <c r="R26" s="280"/>
      <c r="S26" s="280"/>
      <c r="W26" s="373"/>
      <c r="X26" s="373"/>
    </row>
    <row r="27" spans="1:24" ht="24.75" customHeight="1">
      <c r="A27" s="544">
        <v>3</v>
      </c>
      <c r="B27" s="556" t="s">
        <v>328</v>
      </c>
      <c r="C27" s="548"/>
      <c r="D27" s="295"/>
      <c r="E27" s="285"/>
      <c r="F27" s="285"/>
      <c r="G27" s="285"/>
      <c r="H27" s="285"/>
      <c r="I27" s="285"/>
      <c r="J27" s="285"/>
      <c r="K27" s="292"/>
      <c r="L27" s="292"/>
      <c r="M27" s="292"/>
      <c r="N27" s="292"/>
      <c r="O27" s="292"/>
      <c r="P27" s="550"/>
      <c r="Q27" s="537"/>
      <c r="R27" s="280"/>
      <c r="S27" s="280"/>
      <c r="W27" s="373"/>
      <c r="X27" s="373"/>
    </row>
    <row r="28" spans="1:24" ht="9" customHeight="1" thickBot="1">
      <c r="A28" s="544"/>
      <c r="B28" s="557"/>
      <c r="C28" s="548"/>
      <c r="D28" s="295"/>
      <c r="E28" s="285"/>
      <c r="F28" s="285"/>
      <c r="G28" s="285"/>
      <c r="H28" s="285"/>
      <c r="I28" s="285"/>
      <c r="J28" s="285"/>
      <c r="K28" s="292"/>
      <c r="L28" s="292"/>
      <c r="M28" s="292"/>
      <c r="N28" s="292"/>
      <c r="O28" s="292"/>
      <c r="P28" s="553"/>
      <c r="Q28" s="538"/>
      <c r="R28" s="280"/>
      <c r="S28" s="280"/>
      <c r="W28" s="373"/>
      <c r="X28" s="373"/>
    </row>
    <row r="29" spans="1:24" ht="39" customHeight="1">
      <c r="A29" s="544" t="s">
        <v>350</v>
      </c>
      <c r="B29" s="546" t="s">
        <v>307</v>
      </c>
      <c r="C29" s="554"/>
      <c r="D29" s="295"/>
      <c r="E29" s="285"/>
      <c r="F29" s="285">
        <v>11000</v>
      </c>
      <c r="G29" s="285">
        <v>9949.59</v>
      </c>
      <c r="H29" s="285"/>
      <c r="I29" s="285"/>
      <c r="J29" s="285"/>
      <c r="K29" s="292"/>
      <c r="L29" s="292"/>
      <c r="M29" s="292"/>
      <c r="N29" s="292"/>
      <c r="O29" s="292"/>
      <c r="P29" s="296"/>
      <c r="Q29" s="537">
        <f>SUM(C29:P29)</f>
        <v>20949.59</v>
      </c>
      <c r="R29" s="280"/>
      <c r="S29" s="280"/>
      <c r="W29" s="373"/>
      <c r="X29" s="373"/>
    </row>
    <row r="30" spans="1:24" ht="9" customHeight="1" thickBot="1">
      <c r="A30" s="545"/>
      <c r="B30" s="547"/>
      <c r="C30" s="555"/>
      <c r="D30" s="285"/>
      <c r="E30" s="285"/>
      <c r="F30" s="293"/>
      <c r="G30" s="293"/>
      <c r="H30" s="285"/>
      <c r="I30" s="285"/>
      <c r="J30" s="285"/>
      <c r="K30" s="292"/>
      <c r="L30" s="292"/>
      <c r="M30" s="292"/>
      <c r="N30" s="292"/>
      <c r="O30" s="292"/>
      <c r="P30" s="296"/>
      <c r="Q30" s="538"/>
      <c r="R30" s="280"/>
      <c r="S30" s="280"/>
      <c r="W30" s="373"/>
      <c r="X30" s="373"/>
    </row>
    <row r="31" spans="1:24" ht="24.75" customHeight="1">
      <c r="A31" s="544" t="s">
        <v>351</v>
      </c>
      <c r="B31" s="546" t="s">
        <v>354</v>
      </c>
      <c r="C31" s="548"/>
      <c r="D31" s="295"/>
      <c r="E31" s="297"/>
      <c r="F31" s="285">
        <v>21500</v>
      </c>
      <c r="G31" s="285">
        <v>22400.84</v>
      </c>
      <c r="H31" s="285"/>
      <c r="I31" s="285"/>
      <c r="J31" s="285"/>
      <c r="K31" s="292"/>
      <c r="L31" s="292"/>
      <c r="M31" s="292"/>
      <c r="N31" s="292"/>
      <c r="O31" s="292"/>
      <c r="P31" s="550"/>
      <c r="Q31" s="537">
        <f>SUM(C31:P31)</f>
        <v>43900.84</v>
      </c>
      <c r="R31" s="280"/>
      <c r="S31" s="280"/>
      <c r="W31" s="373"/>
      <c r="X31" s="373"/>
    </row>
    <row r="32" spans="1:24" ht="9.75" customHeight="1" thickBot="1">
      <c r="A32" s="545"/>
      <c r="B32" s="547"/>
      <c r="C32" s="548"/>
      <c r="D32" s="285"/>
      <c r="E32" s="285"/>
      <c r="F32" s="293"/>
      <c r="G32" s="293"/>
      <c r="H32" s="285"/>
      <c r="I32" s="285"/>
      <c r="J32" s="285"/>
      <c r="K32" s="292"/>
      <c r="L32" s="292"/>
      <c r="M32" s="292"/>
      <c r="N32" s="292"/>
      <c r="O32" s="292"/>
      <c r="P32" s="553"/>
      <c r="Q32" s="538"/>
      <c r="R32" s="280"/>
      <c r="S32" s="280"/>
      <c r="W32" s="373"/>
      <c r="X32" s="373"/>
    </row>
    <row r="33" spans="1:24" ht="24.75" customHeight="1">
      <c r="A33" s="544" t="s">
        <v>352</v>
      </c>
      <c r="B33" s="546" t="s">
        <v>336</v>
      </c>
      <c r="C33" s="548"/>
      <c r="D33" s="295"/>
      <c r="E33" s="285"/>
      <c r="F33" s="285">
        <v>27500</v>
      </c>
      <c r="G33" s="285">
        <v>27259.54</v>
      </c>
      <c r="H33" s="285"/>
      <c r="I33" s="285"/>
      <c r="J33" s="285"/>
      <c r="K33" s="292"/>
      <c r="L33" s="292"/>
      <c r="M33" s="292"/>
      <c r="N33" s="292"/>
      <c r="O33" s="292"/>
      <c r="P33" s="550"/>
      <c r="Q33" s="537">
        <f>SUM(C33:P33)</f>
        <v>54759.54</v>
      </c>
      <c r="R33" s="280"/>
      <c r="S33" s="280"/>
      <c r="W33" s="373"/>
      <c r="X33" s="373"/>
    </row>
    <row r="34" spans="1:24" ht="9.75" customHeight="1" thickBot="1">
      <c r="A34" s="545"/>
      <c r="B34" s="547"/>
      <c r="C34" s="552"/>
      <c r="D34" s="285"/>
      <c r="E34" s="285"/>
      <c r="F34" s="293"/>
      <c r="G34" s="293"/>
      <c r="H34" s="285"/>
      <c r="I34" s="285"/>
      <c r="J34" s="285"/>
      <c r="K34" s="292"/>
      <c r="L34" s="292"/>
      <c r="M34" s="292"/>
      <c r="N34" s="292"/>
      <c r="O34" s="292"/>
      <c r="P34" s="553"/>
      <c r="Q34" s="538"/>
      <c r="R34" s="298"/>
      <c r="S34" s="280"/>
      <c r="U34" s="299"/>
      <c r="V34" s="299"/>
      <c r="W34" s="374"/>
      <c r="X34" s="373"/>
    </row>
    <row r="35" spans="1:24" ht="24.75" customHeight="1">
      <c r="A35" s="544" t="s">
        <v>353</v>
      </c>
      <c r="B35" s="546" t="s">
        <v>355</v>
      </c>
      <c r="C35" s="548"/>
      <c r="D35" s="295"/>
      <c r="E35" s="285"/>
      <c r="F35" s="285"/>
      <c r="G35" s="285"/>
      <c r="H35" s="285">
        <v>17666.35</v>
      </c>
      <c r="I35" s="285"/>
      <c r="J35" s="285"/>
      <c r="K35" s="292"/>
      <c r="L35" s="292"/>
      <c r="M35" s="292"/>
      <c r="N35" s="292"/>
      <c r="O35" s="292"/>
      <c r="P35" s="550"/>
      <c r="Q35" s="537">
        <f>SUM(C35:P35)</f>
        <v>17666.35</v>
      </c>
      <c r="R35" s="298"/>
      <c r="S35" s="280"/>
      <c r="U35" s="299"/>
      <c r="V35" s="299"/>
      <c r="W35" s="373"/>
      <c r="X35" s="373"/>
    </row>
    <row r="36" spans="1:23" ht="9.75" customHeight="1" thickBot="1">
      <c r="A36" s="545"/>
      <c r="B36" s="547"/>
      <c r="C36" s="549"/>
      <c r="D36" s="300"/>
      <c r="E36" s="291"/>
      <c r="F36" s="285"/>
      <c r="G36" s="291"/>
      <c r="H36" s="293"/>
      <c r="I36" s="285"/>
      <c r="J36" s="301"/>
      <c r="K36" s="301"/>
      <c r="L36" s="301"/>
      <c r="M36" s="301"/>
      <c r="N36" s="301"/>
      <c r="O36" s="301"/>
      <c r="P36" s="551"/>
      <c r="Q36" s="538"/>
      <c r="R36" s="298"/>
      <c r="S36" s="280"/>
      <c r="U36" s="299"/>
      <c r="V36" s="299"/>
      <c r="W36" s="299"/>
    </row>
    <row r="37" spans="1:19" ht="24.75" customHeight="1" thickBot="1">
      <c r="A37" s="539" t="s">
        <v>293</v>
      </c>
      <c r="B37" s="540"/>
      <c r="C37" s="302">
        <f aca="true" t="shared" si="0" ref="C37:H37">SUM(C7:C36)</f>
        <v>0</v>
      </c>
      <c r="D37" s="303">
        <v>22500</v>
      </c>
      <c r="E37" s="303">
        <v>56011.66</v>
      </c>
      <c r="F37" s="303">
        <v>109385.98</v>
      </c>
      <c r="G37" s="303">
        <f t="shared" si="0"/>
        <v>65579.70000000001</v>
      </c>
      <c r="H37" s="303">
        <f t="shared" si="0"/>
        <v>17666.35</v>
      </c>
      <c r="I37" s="303"/>
      <c r="J37" s="303"/>
      <c r="K37" s="303"/>
      <c r="L37" s="303"/>
      <c r="M37" s="303"/>
      <c r="N37" s="303"/>
      <c r="O37" s="303"/>
      <c r="P37" s="302"/>
      <c r="Q37" s="409">
        <f>SUM(C37:P37)</f>
        <v>271143.69</v>
      </c>
      <c r="R37" s="280"/>
      <c r="S37" s="280"/>
    </row>
    <row r="38" spans="1:19" ht="24.75" customHeight="1" thickBot="1">
      <c r="A38" s="541" t="s">
        <v>341</v>
      </c>
      <c r="B38" s="542"/>
      <c r="C38" s="304"/>
      <c r="D38" s="305">
        <f>D37*0.02</f>
        <v>450</v>
      </c>
      <c r="E38" s="305">
        <f>E37*0.02</f>
        <v>1120.2332000000001</v>
      </c>
      <c r="F38" s="305">
        <f>F37*0.02</f>
        <v>2187.7196</v>
      </c>
      <c r="G38" s="305">
        <f>G37*0.02</f>
        <v>1311.5940000000003</v>
      </c>
      <c r="H38" s="305">
        <f>H37*0.02</f>
        <v>353.327</v>
      </c>
      <c r="I38" s="305"/>
      <c r="J38" s="305"/>
      <c r="K38" s="305"/>
      <c r="L38" s="305"/>
      <c r="M38" s="305"/>
      <c r="N38" s="305"/>
      <c r="O38" s="305"/>
      <c r="P38" s="306"/>
      <c r="Q38" s="409">
        <f>SUM(C38:P38)</f>
        <v>5422.8738</v>
      </c>
      <c r="R38" s="280"/>
      <c r="S38" s="280"/>
    </row>
    <row r="39" spans="1:26" ht="24.75" customHeight="1" thickBot="1">
      <c r="A39" s="543" t="s">
        <v>359</v>
      </c>
      <c r="B39" s="540"/>
      <c r="C39" s="302">
        <f aca="true" t="shared" si="1" ref="C39:H39">C37-C38</f>
        <v>0</v>
      </c>
      <c r="D39" s="305">
        <f t="shared" si="1"/>
        <v>22050</v>
      </c>
      <c r="E39" s="305">
        <f t="shared" si="1"/>
        <v>54891.4268</v>
      </c>
      <c r="F39" s="305">
        <f t="shared" si="1"/>
        <v>107198.2604</v>
      </c>
      <c r="G39" s="305">
        <f t="shared" si="1"/>
        <v>64268.106000000014</v>
      </c>
      <c r="H39" s="305">
        <f t="shared" si="1"/>
        <v>17313.022999999997</v>
      </c>
      <c r="I39" s="305"/>
      <c r="J39" s="305"/>
      <c r="K39" s="305"/>
      <c r="L39" s="305"/>
      <c r="M39" s="305"/>
      <c r="N39" s="305"/>
      <c r="O39" s="305"/>
      <c r="P39" s="306"/>
      <c r="Q39" s="410">
        <f>SUM(C39:P39)</f>
        <v>265720.8162</v>
      </c>
      <c r="R39" s="280"/>
      <c r="S39" s="280"/>
      <c r="Y39" s="307"/>
      <c r="Z39" s="307"/>
    </row>
    <row r="40" spans="1:126" s="311" customFormat="1" ht="77.25" customHeight="1" thickBot="1">
      <c r="A40" s="535" t="s">
        <v>308</v>
      </c>
      <c r="B40" s="536"/>
      <c r="C40" s="536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8"/>
      <c r="Q40" s="309">
        <f>SUM(D40:P40)</f>
        <v>0</v>
      </c>
      <c r="R40" s="310"/>
      <c r="S40" s="310"/>
      <c r="T40" s="310"/>
      <c r="U40" s="310"/>
      <c r="V40" s="310"/>
      <c r="W40" s="310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</row>
    <row r="41" spans="1:19" ht="30" customHeight="1" thickBot="1">
      <c r="A41" s="528" t="s">
        <v>309</v>
      </c>
      <c r="B41" s="529"/>
      <c r="C41" s="530"/>
      <c r="D41" s="378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80"/>
      <c r="Q41" s="376">
        <f>SUM(D41:P41)</f>
        <v>0</v>
      </c>
      <c r="R41" s="280"/>
      <c r="S41" s="280"/>
    </row>
    <row r="42" spans="1:19" ht="28.5" customHeight="1" thickBot="1">
      <c r="A42" s="528" t="s">
        <v>310</v>
      </c>
      <c r="B42" s="529"/>
      <c r="C42" s="530"/>
      <c r="D42" s="364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6"/>
      <c r="Q42" s="377">
        <f>SUM(D42:P42)</f>
        <v>0</v>
      </c>
      <c r="R42" s="280"/>
      <c r="S42" s="280"/>
    </row>
    <row r="43" spans="1:19" ht="19.5" customHeight="1" thickBot="1">
      <c r="A43" s="312"/>
      <c r="B43" s="313"/>
      <c r="C43" s="314"/>
      <c r="D43" s="315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5"/>
      <c r="Q43" s="315"/>
      <c r="R43" s="280"/>
      <c r="S43" s="280"/>
    </row>
    <row r="44" spans="1:19" ht="19.5" customHeight="1">
      <c r="A44" s="531" t="s">
        <v>311</v>
      </c>
      <c r="B44" s="532"/>
      <c r="C44" s="532"/>
      <c r="D44" s="533"/>
      <c r="E44" s="534" t="s">
        <v>312</v>
      </c>
      <c r="F44" s="532"/>
      <c r="G44" s="532"/>
      <c r="H44" s="532"/>
      <c r="I44" s="532"/>
      <c r="J44" s="532"/>
      <c r="K44" s="533"/>
      <c r="L44" s="534" t="s">
        <v>313</v>
      </c>
      <c r="M44" s="532"/>
      <c r="N44" s="532"/>
      <c r="O44" s="532"/>
      <c r="P44" s="532"/>
      <c r="Q44" s="533"/>
      <c r="R44" s="280"/>
      <c r="S44" s="280"/>
    </row>
    <row r="45" spans="1:17" s="319" customFormat="1" ht="19.5" customHeight="1">
      <c r="A45" s="317" t="s">
        <v>314</v>
      </c>
      <c r="B45" s="488"/>
      <c r="C45" s="488"/>
      <c r="D45" s="489"/>
      <c r="E45" s="318" t="s">
        <v>315</v>
      </c>
      <c r="F45" s="488"/>
      <c r="G45" s="488"/>
      <c r="H45" s="488"/>
      <c r="I45" s="488"/>
      <c r="J45" s="488"/>
      <c r="K45" s="489"/>
      <c r="L45" s="486" t="s">
        <v>316</v>
      </c>
      <c r="M45" s="487"/>
      <c r="N45" s="488"/>
      <c r="O45" s="488"/>
      <c r="P45" s="488"/>
      <c r="Q45" s="489"/>
    </row>
    <row r="46" spans="1:17" s="319" customFormat="1" ht="19.5" customHeight="1">
      <c r="A46" s="526" t="s">
        <v>317</v>
      </c>
      <c r="B46" s="527"/>
      <c r="C46" s="488" t="s">
        <v>318</v>
      </c>
      <c r="D46" s="489"/>
      <c r="E46" s="523" t="s">
        <v>319</v>
      </c>
      <c r="F46" s="524"/>
      <c r="G46" s="525"/>
      <c r="H46" s="483" t="s">
        <v>320</v>
      </c>
      <c r="I46" s="484"/>
      <c r="J46" s="484"/>
      <c r="K46" s="485"/>
      <c r="L46" s="486" t="s">
        <v>317</v>
      </c>
      <c r="M46" s="487"/>
      <c r="N46" s="488"/>
      <c r="O46" s="488"/>
      <c r="P46" s="488"/>
      <c r="Q46" s="489"/>
    </row>
    <row r="47" spans="1:17" s="319" customFormat="1" ht="23.25" customHeight="1" thickBot="1">
      <c r="A47" s="499"/>
      <c r="B47" s="500"/>
      <c r="C47" s="500"/>
      <c r="D47" s="501"/>
      <c r="E47" s="508" t="s">
        <v>321</v>
      </c>
      <c r="F47" s="509"/>
      <c r="G47" s="509"/>
      <c r="H47" s="509"/>
      <c r="I47" s="509"/>
      <c r="J47" s="509"/>
      <c r="K47" s="510"/>
      <c r="L47" s="511" t="s">
        <v>321</v>
      </c>
      <c r="M47" s="512"/>
      <c r="N47" s="512"/>
      <c r="O47" s="512"/>
      <c r="P47" s="512"/>
      <c r="Q47" s="513"/>
    </row>
    <row r="48" spans="1:17" s="319" customFormat="1" ht="27.75" customHeight="1" thickBot="1">
      <c r="A48" s="502"/>
      <c r="B48" s="503"/>
      <c r="C48" s="503"/>
      <c r="D48" s="504"/>
      <c r="E48" s="514" t="s">
        <v>322</v>
      </c>
      <c r="F48" s="515"/>
      <c r="G48" s="515"/>
      <c r="H48" s="515"/>
      <c r="I48" s="515"/>
      <c r="J48" s="515"/>
      <c r="K48" s="516"/>
      <c r="L48" s="517" t="s">
        <v>323</v>
      </c>
      <c r="M48" s="518"/>
      <c r="N48" s="519"/>
      <c r="O48" s="519"/>
      <c r="P48" s="519"/>
      <c r="Q48" s="520"/>
    </row>
    <row r="49" spans="1:17" s="319" customFormat="1" ht="21" customHeight="1">
      <c r="A49" s="502"/>
      <c r="B49" s="503"/>
      <c r="C49" s="503"/>
      <c r="D49" s="504"/>
      <c r="E49" s="320" t="s">
        <v>324</v>
      </c>
      <c r="F49" s="521"/>
      <c r="G49" s="521"/>
      <c r="H49" s="521"/>
      <c r="I49" s="521"/>
      <c r="J49" s="521"/>
      <c r="K49" s="522"/>
      <c r="L49" s="517"/>
      <c r="M49" s="518"/>
      <c r="N49" s="519"/>
      <c r="O49" s="519"/>
      <c r="P49" s="519"/>
      <c r="Q49" s="520"/>
    </row>
    <row r="50" spans="1:19" ht="21" customHeight="1">
      <c r="A50" s="505"/>
      <c r="B50" s="506"/>
      <c r="C50" s="506"/>
      <c r="D50" s="507"/>
      <c r="E50" s="523" t="s">
        <v>325</v>
      </c>
      <c r="F50" s="524"/>
      <c r="G50" s="525"/>
      <c r="H50" s="483" t="s">
        <v>320</v>
      </c>
      <c r="I50" s="484"/>
      <c r="J50" s="484"/>
      <c r="K50" s="485"/>
      <c r="L50" s="486" t="s">
        <v>317</v>
      </c>
      <c r="M50" s="487"/>
      <c r="N50" s="488"/>
      <c r="O50" s="488"/>
      <c r="P50" s="488"/>
      <c r="Q50" s="489"/>
      <c r="R50" s="280"/>
      <c r="S50" s="280"/>
    </row>
    <row r="51" spans="1:19" ht="27" customHeight="1" thickBot="1">
      <c r="A51" s="490" t="s">
        <v>321</v>
      </c>
      <c r="B51" s="491"/>
      <c r="C51" s="491"/>
      <c r="D51" s="492"/>
      <c r="E51" s="493" t="s">
        <v>321</v>
      </c>
      <c r="F51" s="494"/>
      <c r="G51" s="494"/>
      <c r="H51" s="494"/>
      <c r="I51" s="494"/>
      <c r="J51" s="494"/>
      <c r="K51" s="495"/>
      <c r="L51" s="496" t="s">
        <v>321</v>
      </c>
      <c r="M51" s="497"/>
      <c r="N51" s="497"/>
      <c r="O51" s="497"/>
      <c r="P51" s="497"/>
      <c r="Q51" s="498"/>
      <c r="R51" s="280"/>
      <c r="S51" s="280"/>
    </row>
    <row r="52" spans="1:19" ht="18" customHeight="1">
      <c r="A52" s="224"/>
      <c r="D52" s="321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3"/>
      <c r="S52" s="323"/>
    </row>
    <row r="53" spans="1:20" ht="10.5" customHeight="1">
      <c r="A53" s="482"/>
      <c r="B53" s="482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324"/>
      <c r="S53" s="325"/>
      <c r="T53" s="326"/>
    </row>
    <row r="54" spans="1:19" ht="10.5" customHeight="1">
      <c r="A54" s="482"/>
      <c r="B54" s="482"/>
      <c r="C54" s="482"/>
      <c r="D54" s="482"/>
      <c r="E54" s="482"/>
      <c r="F54" s="482"/>
      <c r="G54" s="482"/>
      <c r="H54" s="482"/>
      <c r="I54" s="482"/>
      <c r="J54" s="482"/>
      <c r="K54" s="482"/>
      <c r="L54" s="482"/>
      <c r="M54" s="482"/>
      <c r="N54" s="482"/>
      <c r="O54" s="482"/>
      <c r="P54" s="482"/>
      <c r="Q54" s="482"/>
      <c r="R54" s="324"/>
      <c r="S54" s="325"/>
    </row>
    <row r="55" spans="1:20" ht="10.5" customHeight="1">
      <c r="A55" s="482"/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  <c r="O55" s="482"/>
      <c r="P55" s="482"/>
      <c r="Q55" s="482"/>
      <c r="R55" s="324"/>
      <c r="S55" s="325"/>
      <c r="T55" s="326"/>
    </row>
    <row r="56" spans="1:19" ht="10.5" customHeight="1">
      <c r="A56" s="482"/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2"/>
      <c r="P56" s="482"/>
      <c r="Q56" s="482"/>
      <c r="R56" s="324"/>
      <c r="S56" s="325"/>
    </row>
    <row r="57" spans="1:19" ht="36.75" customHeight="1">
      <c r="A57" s="299"/>
      <c r="B57" s="299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7"/>
      <c r="R57" s="325"/>
      <c r="S57" s="325"/>
    </row>
    <row r="58" spans="1:19" ht="36" customHeight="1">
      <c r="A58" s="224"/>
      <c r="C58" s="325"/>
      <c r="D58" s="325"/>
      <c r="E58" s="328"/>
      <c r="F58" s="325"/>
      <c r="G58" s="325"/>
      <c r="H58" s="328"/>
      <c r="I58" s="325"/>
      <c r="J58" s="325"/>
      <c r="K58" s="328"/>
      <c r="L58" s="325"/>
      <c r="M58" s="325"/>
      <c r="N58" s="325"/>
      <c r="O58" s="325"/>
      <c r="P58" s="325"/>
      <c r="Q58" s="325"/>
      <c r="R58" s="325"/>
      <c r="S58" s="325"/>
    </row>
    <row r="59" spans="1:19" ht="12.75">
      <c r="A59" s="224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</row>
    <row r="60" spans="1:19" ht="12.75">
      <c r="A60" s="224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R60" s="325"/>
      <c r="S60" s="325"/>
    </row>
    <row r="61" ht="12.75">
      <c r="A61" s="224"/>
    </row>
    <row r="62" ht="12.75">
      <c r="A62" s="224"/>
    </row>
    <row r="63" ht="12.75">
      <c r="A63" s="224"/>
    </row>
    <row r="64" ht="12.75">
      <c r="A64" s="224"/>
    </row>
    <row r="65" ht="12.75">
      <c r="A65" s="224"/>
    </row>
    <row r="66" ht="12.75">
      <c r="A66" s="224"/>
    </row>
    <row r="67" ht="12.75">
      <c r="A67" s="224"/>
    </row>
    <row r="68" ht="12.75">
      <c r="A68" s="224"/>
    </row>
    <row r="69" ht="12.75">
      <c r="A69" s="224"/>
    </row>
    <row r="70" ht="12.75">
      <c r="A70" s="224"/>
    </row>
    <row r="71" ht="12.75">
      <c r="A71" s="224"/>
    </row>
    <row r="72" ht="12.75">
      <c r="A72" s="224"/>
    </row>
    <row r="73" ht="12.75">
      <c r="A73" s="224"/>
    </row>
    <row r="74" ht="12.75">
      <c r="A74" s="224"/>
    </row>
    <row r="75" ht="12.75">
      <c r="A75" s="224"/>
    </row>
    <row r="76" ht="12.75">
      <c r="A76" s="224"/>
    </row>
    <row r="77" ht="12.75">
      <c r="A77" s="224"/>
    </row>
    <row r="78" ht="12.75">
      <c r="A78" s="224"/>
    </row>
    <row r="79" ht="12.75">
      <c r="A79" s="224"/>
    </row>
    <row r="80" ht="12.75">
      <c r="A80" s="224"/>
    </row>
    <row r="81" ht="12.75">
      <c r="A81" s="224"/>
    </row>
    <row r="82" ht="12.75">
      <c r="A82" s="224"/>
    </row>
    <row r="83" ht="12.75">
      <c r="A83" s="224"/>
    </row>
    <row r="84" ht="12.75">
      <c r="A84" s="224"/>
    </row>
    <row r="85" ht="12.75">
      <c r="A85" s="224"/>
    </row>
    <row r="86" ht="12.75">
      <c r="A86" s="224"/>
    </row>
    <row r="87" ht="12.75">
      <c r="A87" s="224"/>
    </row>
    <row r="88" ht="12.75">
      <c r="A88" s="224"/>
    </row>
    <row r="89" ht="12.75">
      <c r="A89" s="224"/>
    </row>
    <row r="90" ht="12.75">
      <c r="A90" s="224"/>
    </row>
    <row r="91" ht="12.75">
      <c r="A91" s="224"/>
    </row>
    <row r="92" ht="12.75">
      <c r="A92" s="224"/>
    </row>
    <row r="93" ht="12.75">
      <c r="A93" s="224"/>
    </row>
    <row r="94" ht="12.75">
      <c r="A94" s="224"/>
    </row>
    <row r="95" ht="12.75">
      <c r="A95" s="224"/>
    </row>
    <row r="96" ht="12.75">
      <c r="A96" s="224"/>
    </row>
    <row r="97" ht="12.75">
      <c r="A97" s="224"/>
    </row>
    <row r="98" ht="12.75">
      <c r="A98" s="224"/>
    </row>
    <row r="99" ht="12.75">
      <c r="A99" s="224"/>
    </row>
    <row r="100" ht="12.75">
      <c r="A100" s="224"/>
    </row>
    <row r="101" ht="12.75">
      <c r="A101" s="224"/>
    </row>
    <row r="102" ht="12.75">
      <c r="A102" s="224"/>
    </row>
    <row r="103" ht="12.75">
      <c r="A103" s="224"/>
    </row>
    <row r="104" ht="12.75">
      <c r="A104" s="224"/>
    </row>
    <row r="105" ht="12.75">
      <c r="A105" s="224"/>
    </row>
    <row r="106" ht="12.75">
      <c r="A106" s="224"/>
    </row>
    <row r="107" ht="12.75">
      <c r="A107" s="224"/>
    </row>
    <row r="108" ht="12.75">
      <c r="A108" s="224"/>
    </row>
    <row r="109" ht="12.75">
      <c r="A109" s="224"/>
    </row>
    <row r="110" ht="12.75">
      <c r="A110" s="224"/>
    </row>
    <row r="111" ht="12.75">
      <c r="A111" s="224"/>
    </row>
    <row r="112" ht="12.75">
      <c r="A112" s="224"/>
    </row>
    <row r="113" ht="12.75">
      <c r="A113" s="224"/>
    </row>
    <row r="114" ht="12.75">
      <c r="A114" s="224"/>
    </row>
    <row r="115" ht="12.75">
      <c r="A115" s="224"/>
    </row>
    <row r="116" ht="12.75">
      <c r="A116" s="224"/>
    </row>
    <row r="117" ht="12.75">
      <c r="A117" s="224"/>
    </row>
    <row r="118" ht="12.75">
      <c r="A118" s="224"/>
    </row>
    <row r="119" ht="12.75">
      <c r="A119" s="224"/>
    </row>
    <row r="120" ht="12.75">
      <c r="A120" s="224"/>
    </row>
    <row r="121" ht="12.75">
      <c r="A121" s="224"/>
    </row>
    <row r="122" ht="12.75">
      <c r="A122" s="224"/>
    </row>
    <row r="123" ht="12.75">
      <c r="A123" s="224"/>
    </row>
    <row r="124" ht="12.75">
      <c r="A124" s="224"/>
    </row>
    <row r="125" ht="12.75">
      <c r="A125" s="224"/>
    </row>
    <row r="126" ht="12.75">
      <c r="A126" s="224"/>
    </row>
    <row r="127" ht="12.75">
      <c r="A127" s="224"/>
    </row>
    <row r="128" ht="12.75">
      <c r="A128" s="224"/>
    </row>
    <row r="129" ht="12.75">
      <c r="A129" s="224"/>
    </row>
    <row r="130" ht="12.75">
      <c r="A130" s="224"/>
    </row>
    <row r="131" ht="12.75">
      <c r="A131" s="224"/>
    </row>
    <row r="132" ht="12.75">
      <c r="A132" s="224"/>
    </row>
    <row r="133" ht="12.75">
      <c r="A133" s="224"/>
    </row>
    <row r="134" ht="12.75">
      <c r="A134" s="224"/>
    </row>
    <row r="135" ht="12.75">
      <c r="A135" s="224"/>
    </row>
    <row r="136" ht="12.75">
      <c r="A136" s="224"/>
    </row>
    <row r="137" ht="12.75">
      <c r="A137" s="224"/>
    </row>
    <row r="138" ht="12.75">
      <c r="A138" s="224"/>
    </row>
    <row r="139" ht="12.75">
      <c r="A139" s="224"/>
    </row>
    <row r="140" ht="12.75">
      <c r="A140" s="224"/>
    </row>
    <row r="141" ht="12.75">
      <c r="A141" s="224"/>
    </row>
    <row r="142" ht="12.75">
      <c r="A142" s="224"/>
    </row>
    <row r="143" ht="12.75">
      <c r="A143" s="224"/>
    </row>
    <row r="144" ht="12.75">
      <c r="A144" s="224"/>
    </row>
    <row r="145" ht="12.75">
      <c r="A145" s="224"/>
    </row>
    <row r="146" ht="12.75">
      <c r="A146" s="224"/>
    </row>
    <row r="147" ht="12.75">
      <c r="A147" s="224"/>
    </row>
    <row r="148" ht="12.75">
      <c r="A148" s="224"/>
    </row>
    <row r="149" ht="12.75">
      <c r="A149" s="224"/>
    </row>
    <row r="150" ht="12.75">
      <c r="A150" s="224"/>
    </row>
    <row r="151" ht="12.75">
      <c r="A151" s="224"/>
    </row>
    <row r="152" ht="12.75">
      <c r="A152" s="224"/>
    </row>
    <row r="153" ht="12.75">
      <c r="A153" s="224"/>
    </row>
    <row r="154" ht="12.75">
      <c r="A154" s="224"/>
    </row>
    <row r="155" ht="12.75">
      <c r="A155" s="224"/>
    </row>
    <row r="156" ht="12.75">
      <c r="A156" s="224"/>
    </row>
    <row r="157" ht="12.75">
      <c r="A157" s="224"/>
    </row>
    <row r="158" ht="12.75">
      <c r="A158" s="224"/>
    </row>
    <row r="159" ht="12.75">
      <c r="A159" s="224"/>
    </row>
    <row r="160" ht="12.75">
      <c r="A160" s="224"/>
    </row>
    <row r="161" ht="12.75">
      <c r="A161" s="224"/>
    </row>
    <row r="162" ht="12.75">
      <c r="A162" s="224"/>
    </row>
    <row r="163" ht="12.75">
      <c r="A163" s="224"/>
    </row>
    <row r="164" ht="12.75">
      <c r="A164" s="224"/>
    </row>
    <row r="165" ht="12.75">
      <c r="A165" s="224"/>
    </row>
    <row r="166" ht="12.75">
      <c r="A166" s="224"/>
    </row>
    <row r="167" ht="12.75">
      <c r="A167" s="224"/>
    </row>
    <row r="168" ht="12.75">
      <c r="A168" s="224"/>
    </row>
    <row r="169" ht="12.75">
      <c r="A169" s="224"/>
    </row>
    <row r="170" ht="12.75">
      <c r="A170" s="224"/>
    </row>
    <row r="171" ht="12.75">
      <c r="A171" s="224"/>
    </row>
    <row r="172" ht="12.75">
      <c r="A172" s="224"/>
    </row>
    <row r="173" ht="12.75">
      <c r="A173" s="224"/>
    </row>
    <row r="174" ht="12.75">
      <c r="A174" s="224"/>
    </row>
    <row r="175" ht="12.75">
      <c r="A175" s="224"/>
    </row>
    <row r="176" ht="12.75">
      <c r="A176" s="224"/>
    </row>
    <row r="177" ht="12.75">
      <c r="A177" s="224"/>
    </row>
    <row r="178" ht="12.75">
      <c r="A178" s="224"/>
    </row>
    <row r="179" ht="12.75">
      <c r="A179" s="224"/>
    </row>
    <row r="180" ht="12.75">
      <c r="A180" s="224"/>
    </row>
    <row r="181" ht="12.75">
      <c r="A181" s="224"/>
    </row>
    <row r="182" ht="12.75">
      <c r="A182" s="224"/>
    </row>
    <row r="183" ht="12.75">
      <c r="A183" s="224"/>
    </row>
    <row r="184" ht="12.75">
      <c r="A184" s="224"/>
    </row>
    <row r="185" ht="12.75">
      <c r="A185" s="224"/>
    </row>
    <row r="186" ht="12.75">
      <c r="A186" s="224"/>
    </row>
    <row r="187" ht="12.75">
      <c r="A187" s="224"/>
    </row>
    <row r="188" ht="12.75">
      <c r="A188" s="224"/>
    </row>
    <row r="189" ht="12.75">
      <c r="A189" s="224"/>
    </row>
    <row r="190" ht="12.75">
      <c r="A190" s="224"/>
    </row>
    <row r="191" ht="12.75">
      <c r="A191" s="224"/>
    </row>
    <row r="192" ht="12.75">
      <c r="A192" s="224"/>
    </row>
    <row r="193" ht="12.75">
      <c r="A193" s="224"/>
    </row>
    <row r="194" ht="12.75">
      <c r="A194" s="224"/>
    </row>
    <row r="195" ht="12.75">
      <c r="A195" s="224"/>
    </row>
    <row r="196" ht="12.75">
      <c r="A196" s="224"/>
    </row>
    <row r="197" ht="12.75">
      <c r="A197" s="224"/>
    </row>
    <row r="198" ht="12.75">
      <c r="A198" s="224"/>
    </row>
    <row r="199" ht="12.75">
      <c r="A199" s="224"/>
    </row>
    <row r="200" ht="12.75">
      <c r="A200" s="224"/>
    </row>
    <row r="201" ht="12.75">
      <c r="A201" s="224"/>
    </row>
    <row r="202" ht="12.75">
      <c r="A202" s="224"/>
    </row>
    <row r="203" ht="12.75">
      <c r="A203" s="224"/>
    </row>
    <row r="204" ht="12.75">
      <c r="A204" s="224"/>
    </row>
    <row r="205" ht="12.75">
      <c r="A205" s="224"/>
    </row>
    <row r="206" ht="12.75">
      <c r="A206" s="224"/>
    </row>
    <row r="207" ht="12.75">
      <c r="A207" s="224"/>
    </row>
    <row r="208" ht="12.75">
      <c r="A208" s="224"/>
    </row>
    <row r="209" ht="12.75">
      <c r="A209" s="224"/>
    </row>
    <row r="210" ht="12.75">
      <c r="A210" s="224"/>
    </row>
    <row r="211" ht="12.75">
      <c r="A211" s="224"/>
    </row>
    <row r="212" ht="12.75">
      <c r="A212" s="224"/>
    </row>
    <row r="213" ht="12.75">
      <c r="A213" s="224"/>
    </row>
    <row r="214" ht="12.75">
      <c r="A214" s="224"/>
    </row>
    <row r="215" ht="12.75">
      <c r="A215" s="224"/>
    </row>
    <row r="216" ht="12.75">
      <c r="A216" s="224"/>
    </row>
    <row r="217" ht="12.75">
      <c r="A217" s="224"/>
    </row>
    <row r="218" ht="12.75">
      <c r="A218" s="224"/>
    </row>
    <row r="219" ht="12.75">
      <c r="A219" s="224"/>
    </row>
    <row r="220" ht="12.75">
      <c r="A220" s="224"/>
    </row>
    <row r="221" ht="12.75">
      <c r="A221" s="224"/>
    </row>
    <row r="222" ht="12.75">
      <c r="A222" s="224"/>
    </row>
    <row r="223" ht="12.75">
      <c r="A223" s="224"/>
    </row>
    <row r="224" ht="12.75">
      <c r="A224" s="224"/>
    </row>
    <row r="225" ht="12.75">
      <c r="A225" s="224"/>
    </row>
    <row r="226" ht="12.75">
      <c r="A226" s="224"/>
    </row>
    <row r="227" ht="12.75">
      <c r="A227" s="224"/>
    </row>
    <row r="228" ht="12.75">
      <c r="A228" s="224"/>
    </row>
    <row r="229" ht="12.75">
      <c r="A229" s="224"/>
    </row>
    <row r="230" ht="12.75">
      <c r="A230" s="224"/>
    </row>
    <row r="231" ht="12.75">
      <c r="A231" s="224"/>
    </row>
    <row r="232" ht="12.75">
      <c r="A232" s="224"/>
    </row>
    <row r="233" ht="12.75">
      <c r="A233" s="224"/>
    </row>
    <row r="234" ht="12.75">
      <c r="A234" s="224"/>
    </row>
    <row r="235" ht="12.75">
      <c r="A235" s="224"/>
    </row>
    <row r="236" ht="12.75">
      <c r="A236" s="224"/>
    </row>
    <row r="237" ht="12.75">
      <c r="A237" s="224"/>
    </row>
    <row r="238" ht="12.75">
      <c r="A238" s="224"/>
    </row>
    <row r="239" ht="12.75">
      <c r="A239" s="224"/>
    </row>
    <row r="240" ht="12.75">
      <c r="A240" s="224"/>
    </row>
    <row r="241" ht="12.75">
      <c r="A241" s="224"/>
    </row>
    <row r="242" ht="12.75">
      <c r="A242" s="224"/>
    </row>
    <row r="243" ht="12.75">
      <c r="A243" s="224"/>
    </row>
    <row r="244" ht="12.75">
      <c r="A244" s="224"/>
    </row>
    <row r="245" ht="12.75">
      <c r="A245" s="224"/>
    </row>
    <row r="246" ht="12.75">
      <c r="A246" s="224"/>
    </row>
    <row r="247" ht="12.75">
      <c r="A247" s="224"/>
    </row>
    <row r="248" ht="12.75">
      <c r="A248" s="224"/>
    </row>
    <row r="249" ht="12.75">
      <c r="A249" s="224"/>
    </row>
    <row r="250" ht="12.75">
      <c r="A250" s="224"/>
    </row>
    <row r="251" ht="12.75">
      <c r="A251" s="224"/>
    </row>
    <row r="252" ht="12.75">
      <c r="A252" s="224"/>
    </row>
    <row r="253" ht="12.75">
      <c r="A253" s="224"/>
    </row>
    <row r="254" ht="12.75">
      <c r="A254" s="224"/>
    </row>
    <row r="255" ht="12.75">
      <c r="A255" s="224"/>
    </row>
    <row r="256" ht="12.75">
      <c r="A256" s="224"/>
    </row>
    <row r="257" ht="12.75">
      <c r="A257" s="224"/>
    </row>
    <row r="258" ht="12.75">
      <c r="A258" s="224"/>
    </row>
    <row r="259" ht="12.75">
      <c r="A259" s="224"/>
    </row>
    <row r="260" ht="12.75">
      <c r="A260" s="224"/>
    </row>
    <row r="261" ht="12.75">
      <c r="A261" s="224"/>
    </row>
    <row r="262" ht="12.75">
      <c r="A262" s="224"/>
    </row>
    <row r="263" ht="12.75">
      <c r="A263" s="224"/>
    </row>
    <row r="264" ht="12.75">
      <c r="A264" s="224"/>
    </row>
    <row r="265" ht="12.75">
      <c r="A265" s="224"/>
    </row>
    <row r="266" ht="12.75">
      <c r="A266" s="224"/>
    </row>
    <row r="267" ht="12.75">
      <c r="A267" s="224"/>
    </row>
    <row r="268" ht="12.75">
      <c r="A268" s="224"/>
    </row>
    <row r="269" ht="12.75">
      <c r="A269" s="224"/>
    </row>
    <row r="270" ht="12.75">
      <c r="A270" s="224"/>
    </row>
    <row r="271" ht="12.75">
      <c r="A271" s="224"/>
    </row>
    <row r="272" ht="12.75">
      <c r="A272" s="224"/>
    </row>
    <row r="273" ht="12.75">
      <c r="A273" s="224"/>
    </row>
    <row r="274" ht="12.75">
      <c r="A274" s="224"/>
    </row>
    <row r="275" ht="12.75">
      <c r="A275" s="224"/>
    </row>
    <row r="276" ht="12.75">
      <c r="A276" s="224"/>
    </row>
    <row r="277" ht="12.75">
      <c r="A277" s="224"/>
    </row>
    <row r="278" ht="12.75">
      <c r="A278" s="224"/>
    </row>
    <row r="279" ht="12.75">
      <c r="A279" s="224"/>
    </row>
    <row r="280" ht="12.75">
      <c r="A280" s="224"/>
    </row>
    <row r="281" ht="12.75">
      <c r="A281" s="224"/>
    </row>
    <row r="282" ht="12.75">
      <c r="A282" s="224"/>
    </row>
    <row r="283" ht="12.75">
      <c r="A283" s="224"/>
    </row>
    <row r="284" ht="12.75">
      <c r="A284" s="224"/>
    </row>
    <row r="285" ht="12.75">
      <c r="A285" s="224"/>
    </row>
    <row r="286" ht="12.75">
      <c r="A286" s="224"/>
    </row>
    <row r="287" ht="12.75">
      <c r="A287" s="224"/>
    </row>
    <row r="288" ht="12.75">
      <c r="A288" s="224"/>
    </row>
    <row r="289" ht="12.75">
      <c r="A289" s="224"/>
    </row>
    <row r="290" ht="12.75">
      <c r="A290" s="224"/>
    </row>
    <row r="291" ht="12.75">
      <c r="A291" s="224"/>
    </row>
    <row r="292" ht="12.75">
      <c r="A292" s="224"/>
    </row>
    <row r="293" ht="12.75">
      <c r="A293" s="224"/>
    </row>
    <row r="294" ht="12.75">
      <c r="A294" s="224"/>
    </row>
    <row r="295" ht="12.75">
      <c r="A295" s="224"/>
    </row>
    <row r="296" ht="12.75">
      <c r="A296" s="224"/>
    </row>
    <row r="297" ht="12.75">
      <c r="A297" s="224"/>
    </row>
    <row r="298" ht="12.75">
      <c r="A298" s="224"/>
    </row>
    <row r="299" ht="12.75">
      <c r="A299" s="224"/>
    </row>
    <row r="300" ht="12.75">
      <c r="A300" s="224"/>
    </row>
    <row r="301" ht="12.75">
      <c r="A301" s="224"/>
    </row>
    <row r="302" ht="12.75">
      <c r="A302" s="224"/>
    </row>
    <row r="303" ht="12.75">
      <c r="A303" s="224"/>
    </row>
    <row r="304" ht="12.75">
      <c r="A304" s="224"/>
    </row>
    <row r="305" ht="12.75">
      <c r="A305" s="224"/>
    </row>
    <row r="306" ht="12.75">
      <c r="A306" s="224"/>
    </row>
    <row r="307" ht="12.75">
      <c r="A307" s="224"/>
    </row>
    <row r="308" ht="12.75">
      <c r="A308" s="224"/>
    </row>
    <row r="309" ht="12.75">
      <c r="A309" s="224"/>
    </row>
    <row r="310" ht="12.75">
      <c r="A310" s="224"/>
    </row>
    <row r="311" ht="12.75">
      <c r="A311" s="224"/>
    </row>
    <row r="312" ht="12.75">
      <c r="A312" s="224"/>
    </row>
    <row r="313" ht="12.75">
      <c r="A313" s="224"/>
    </row>
    <row r="314" ht="12.75">
      <c r="A314" s="224"/>
    </row>
    <row r="315" ht="12.75">
      <c r="A315" s="224"/>
    </row>
    <row r="316" ht="12.75">
      <c r="A316" s="224"/>
    </row>
    <row r="317" ht="12.75">
      <c r="A317" s="224"/>
    </row>
    <row r="318" ht="12.75">
      <c r="A318" s="224"/>
    </row>
    <row r="319" ht="12.75">
      <c r="A319" s="224"/>
    </row>
    <row r="320" ht="12.75">
      <c r="A320" s="224"/>
    </row>
    <row r="321" ht="12.75">
      <c r="A321" s="224"/>
    </row>
    <row r="322" ht="12.75">
      <c r="A322" s="224"/>
    </row>
    <row r="323" ht="12.75">
      <c r="A323" s="224"/>
    </row>
    <row r="324" ht="12.75">
      <c r="A324" s="224"/>
    </row>
    <row r="325" ht="12.75">
      <c r="A325" s="224"/>
    </row>
    <row r="326" ht="12.75">
      <c r="A326" s="224"/>
    </row>
    <row r="327" ht="12.75">
      <c r="A327" s="224"/>
    </row>
    <row r="328" ht="12.75">
      <c r="A328" s="224"/>
    </row>
    <row r="329" ht="12.75">
      <c r="A329" s="224"/>
    </row>
    <row r="330" ht="12.75">
      <c r="A330" s="224"/>
    </row>
    <row r="331" ht="12.75">
      <c r="A331" s="224"/>
    </row>
    <row r="332" ht="12.75">
      <c r="A332" s="224"/>
    </row>
    <row r="333" ht="12.75">
      <c r="A333" s="224"/>
    </row>
    <row r="334" ht="12.75">
      <c r="A334" s="224"/>
    </row>
    <row r="335" ht="12.75">
      <c r="A335" s="224"/>
    </row>
    <row r="336" ht="12.75">
      <c r="A336" s="224"/>
    </row>
    <row r="337" ht="12.75">
      <c r="A337" s="224"/>
    </row>
    <row r="338" ht="12.75">
      <c r="A338" s="224"/>
    </row>
    <row r="339" ht="12.75">
      <c r="A339" s="224"/>
    </row>
    <row r="340" ht="12.75">
      <c r="A340" s="224"/>
    </row>
    <row r="341" ht="12.75">
      <c r="A341" s="224"/>
    </row>
    <row r="342" ht="12.75">
      <c r="A342" s="224"/>
    </row>
    <row r="343" ht="12.75">
      <c r="A343" s="224"/>
    </row>
    <row r="344" ht="12.75">
      <c r="A344" s="224"/>
    </row>
    <row r="345" ht="12.75">
      <c r="A345" s="224"/>
    </row>
    <row r="346" ht="12.75">
      <c r="A346" s="224"/>
    </row>
    <row r="347" ht="12.75">
      <c r="A347" s="224"/>
    </row>
    <row r="348" ht="12.75">
      <c r="A348" s="224"/>
    </row>
    <row r="349" ht="12.75">
      <c r="A349" s="224"/>
    </row>
    <row r="350" ht="12.75">
      <c r="A350" s="224"/>
    </row>
    <row r="351" ht="12.75">
      <c r="A351" s="224"/>
    </row>
    <row r="352" ht="12.75">
      <c r="A352" s="224"/>
    </row>
    <row r="353" ht="12.75">
      <c r="A353" s="224"/>
    </row>
    <row r="354" ht="12.75">
      <c r="A354" s="224"/>
    </row>
    <row r="355" ht="12.75">
      <c r="A355" s="224"/>
    </row>
    <row r="356" ht="12.75">
      <c r="A356" s="224"/>
    </row>
    <row r="357" ht="12.75">
      <c r="A357" s="224"/>
    </row>
    <row r="358" ht="12.75">
      <c r="A358" s="224"/>
    </row>
    <row r="359" ht="12.75">
      <c r="A359" s="224"/>
    </row>
    <row r="360" ht="12.75">
      <c r="A360" s="224"/>
    </row>
    <row r="361" ht="12.75">
      <c r="A361" s="224"/>
    </row>
    <row r="362" ht="12.75">
      <c r="A362" s="224"/>
    </row>
    <row r="363" ht="12.75">
      <c r="A363" s="224"/>
    </row>
    <row r="364" ht="12.75">
      <c r="A364" s="224"/>
    </row>
    <row r="365" ht="12.75">
      <c r="A365" s="224"/>
    </row>
    <row r="366" ht="12.75">
      <c r="A366" s="224"/>
    </row>
    <row r="367" ht="12.75">
      <c r="A367" s="224"/>
    </row>
    <row r="368" ht="12.75">
      <c r="A368" s="224"/>
    </row>
    <row r="369" ht="12.75">
      <c r="A369" s="224"/>
    </row>
    <row r="370" ht="12.75">
      <c r="A370" s="224"/>
    </row>
    <row r="371" ht="12.75">
      <c r="A371" s="224"/>
    </row>
    <row r="372" ht="12.75">
      <c r="A372" s="224"/>
    </row>
    <row r="373" ht="12.75">
      <c r="A373" s="224"/>
    </row>
    <row r="374" ht="12.75">
      <c r="A374" s="224"/>
    </row>
    <row r="375" ht="12.75">
      <c r="A375" s="224"/>
    </row>
    <row r="376" ht="12.75">
      <c r="A376" s="224"/>
    </row>
    <row r="377" ht="12.75">
      <c r="A377" s="224"/>
    </row>
    <row r="378" ht="12.75">
      <c r="A378" s="224"/>
    </row>
    <row r="379" ht="12.75">
      <c r="A379" s="224"/>
    </row>
    <row r="380" ht="12.75">
      <c r="A380" s="224"/>
    </row>
    <row r="381" ht="12.75">
      <c r="A381" s="224"/>
    </row>
    <row r="382" ht="12.75">
      <c r="A382" s="224"/>
    </row>
    <row r="383" ht="12.75">
      <c r="A383" s="224"/>
    </row>
    <row r="384" ht="12.75">
      <c r="A384" s="224"/>
    </row>
    <row r="385" ht="12.75">
      <c r="A385" s="224"/>
    </row>
    <row r="386" ht="12.75">
      <c r="A386" s="224"/>
    </row>
    <row r="387" ht="12.75">
      <c r="A387" s="224"/>
    </row>
    <row r="388" ht="12.75">
      <c r="A388" s="224"/>
    </row>
    <row r="389" ht="12.75">
      <c r="A389" s="224"/>
    </row>
    <row r="390" ht="12.75">
      <c r="A390" s="224"/>
    </row>
    <row r="391" ht="12.75">
      <c r="A391" s="224"/>
    </row>
    <row r="392" ht="12.75">
      <c r="A392" s="224"/>
    </row>
    <row r="393" ht="12.75">
      <c r="A393" s="224"/>
    </row>
    <row r="394" ht="12.75">
      <c r="A394" s="224"/>
    </row>
    <row r="395" ht="12.75">
      <c r="A395" s="224"/>
    </row>
    <row r="396" ht="12.75">
      <c r="A396" s="224"/>
    </row>
    <row r="397" ht="12.75">
      <c r="A397" s="224"/>
    </row>
    <row r="398" ht="12.75">
      <c r="A398" s="224"/>
    </row>
    <row r="399" ht="12.75">
      <c r="A399" s="224"/>
    </row>
    <row r="400" ht="12.75">
      <c r="A400" s="224"/>
    </row>
    <row r="401" ht="12.75">
      <c r="A401" s="224"/>
    </row>
    <row r="402" ht="12.75">
      <c r="A402" s="224"/>
    </row>
    <row r="403" ht="12.75">
      <c r="A403" s="224"/>
    </row>
    <row r="404" ht="12.75">
      <c r="A404" s="224"/>
    </row>
    <row r="405" ht="12.75">
      <c r="A405" s="224"/>
    </row>
    <row r="406" ht="12.75">
      <c r="A406" s="224"/>
    </row>
    <row r="407" ht="12.75">
      <c r="A407" s="224"/>
    </row>
    <row r="408" ht="12.75">
      <c r="A408" s="224"/>
    </row>
    <row r="409" ht="12.75">
      <c r="A409" s="224"/>
    </row>
    <row r="410" ht="12.75">
      <c r="A410" s="224"/>
    </row>
    <row r="411" ht="12.75">
      <c r="A411" s="224"/>
    </row>
    <row r="412" ht="12.75">
      <c r="A412" s="224"/>
    </row>
    <row r="413" ht="12.75">
      <c r="A413" s="224"/>
    </row>
    <row r="414" ht="12.75">
      <c r="A414" s="224"/>
    </row>
    <row r="415" ht="12.75">
      <c r="A415" s="224"/>
    </row>
    <row r="416" ht="12.75">
      <c r="A416" s="224"/>
    </row>
    <row r="417" ht="12.75">
      <c r="A417" s="224"/>
    </row>
    <row r="418" ht="12.75">
      <c r="A418" s="224"/>
    </row>
    <row r="419" ht="12.75">
      <c r="A419" s="224"/>
    </row>
    <row r="420" ht="12.75">
      <c r="A420" s="224"/>
    </row>
    <row r="421" ht="12.75">
      <c r="A421" s="224"/>
    </row>
    <row r="422" ht="12.75">
      <c r="A422" s="224"/>
    </row>
    <row r="423" ht="12.75">
      <c r="A423" s="224"/>
    </row>
    <row r="424" ht="12.75">
      <c r="A424" s="224"/>
    </row>
    <row r="425" ht="12.75">
      <c r="A425" s="224"/>
    </row>
    <row r="426" ht="12.75">
      <c r="A426" s="224"/>
    </row>
    <row r="427" ht="12.75">
      <c r="A427" s="224"/>
    </row>
    <row r="428" ht="12.75">
      <c r="A428" s="224"/>
    </row>
    <row r="429" ht="12.75">
      <c r="A429" s="224"/>
    </row>
    <row r="430" ht="12.75">
      <c r="A430" s="224"/>
    </row>
    <row r="431" ht="12.75">
      <c r="A431" s="224"/>
    </row>
    <row r="432" ht="12.75">
      <c r="A432" s="224"/>
    </row>
    <row r="433" ht="12.75">
      <c r="A433" s="224"/>
    </row>
    <row r="434" ht="12.75">
      <c r="A434" s="224"/>
    </row>
    <row r="435" ht="12.75">
      <c r="A435" s="224"/>
    </row>
    <row r="436" ht="12.75">
      <c r="A436" s="224"/>
    </row>
    <row r="437" ht="12.75">
      <c r="A437" s="224"/>
    </row>
    <row r="438" ht="12.75">
      <c r="A438" s="224"/>
    </row>
    <row r="439" ht="12.75">
      <c r="A439" s="224"/>
    </row>
    <row r="440" ht="12.75">
      <c r="A440" s="224"/>
    </row>
    <row r="441" ht="12.75">
      <c r="A441" s="224"/>
    </row>
    <row r="442" ht="12.75">
      <c r="A442" s="224"/>
    </row>
    <row r="443" ht="12.75">
      <c r="A443" s="224"/>
    </row>
    <row r="444" ht="12.75">
      <c r="A444" s="224"/>
    </row>
    <row r="445" ht="12.75">
      <c r="A445" s="224"/>
    </row>
    <row r="446" ht="12.75">
      <c r="A446" s="224"/>
    </row>
    <row r="447" ht="12.75">
      <c r="A447" s="224"/>
    </row>
    <row r="448" ht="12.75">
      <c r="A448" s="224"/>
    </row>
    <row r="449" ht="12.75">
      <c r="A449" s="224"/>
    </row>
    <row r="450" ht="12.75">
      <c r="A450" s="224"/>
    </row>
    <row r="451" ht="12.75">
      <c r="A451" s="224"/>
    </row>
    <row r="452" ht="12.75">
      <c r="A452" s="224"/>
    </row>
    <row r="453" ht="12.75">
      <c r="A453" s="224"/>
    </row>
  </sheetData>
  <sheetProtection/>
  <mergeCells count="119">
    <mergeCell ref="C3:D3"/>
    <mergeCell ref="E3:O3"/>
    <mergeCell ref="A5:A6"/>
    <mergeCell ref="D5:O5"/>
    <mergeCell ref="Q5:Q6"/>
    <mergeCell ref="P5:P6"/>
    <mergeCell ref="A1:B1"/>
    <mergeCell ref="C1:J1"/>
    <mergeCell ref="K1:M1"/>
    <mergeCell ref="N1:O1"/>
    <mergeCell ref="A2:B2"/>
    <mergeCell ref="C2:D2"/>
    <mergeCell ref="E2:O2"/>
    <mergeCell ref="A3:B3"/>
    <mergeCell ref="Q7:Q8"/>
    <mergeCell ref="A9:A10"/>
    <mergeCell ref="B9:B10"/>
    <mergeCell ref="C9:C10"/>
    <mergeCell ref="P9:P10"/>
    <mergeCell ref="Q9:Q10"/>
    <mergeCell ref="A7:A8"/>
    <mergeCell ref="B7:B8"/>
    <mergeCell ref="C7:C8"/>
    <mergeCell ref="P7:P8"/>
    <mergeCell ref="Q11:Q12"/>
    <mergeCell ref="A13:A14"/>
    <mergeCell ref="B13:B14"/>
    <mergeCell ref="C13:C14"/>
    <mergeCell ref="P13:P14"/>
    <mergeCell ref="Q13:Q14"/>
    <mergeCell ref="A11:A12"/>
    <mergeCell ref="B11:B12"/>
    <mergeCell ref="C11:C12"/>
    <mergeCell ref="P11:P12"/>
    <mergeCell ref="Q15:Q16"/>
    <mergeCell ref="A17:A18"/>
    <mergeCell ref="B17:B18"/>
    <mergeCell ref="C17:C18"/>
    <mergeCell ref="P17:P18"/>
    <mergeCell ref="Q17:Q18"/>
    <mergeCell ref="A15:A16"/>
    <mergeCell ref="B15:B16"/>
    <mergeCell ref="C15:C16"/>
    <mergeCell ref="P15:P16"/>
    <mergeCell ref="Q19:Q20"/>
    <mergeCell ref="A21:A22"/>
    <mergeCell ref="B21:B22"/>
    <mergeCell ref="C21:C22"/>
    <mergeCell ref="Q21:Q22"/>
    <mergeCell ref="A19:A20"/>
    <mergeCell ref="B19:B20"/>
    <mergeCell ref="C19:C20"/>
    <mergeCell ref="A25:A26"/>
    <mergeCell ref="B25:B26"/>
    <mergeCell ref="C25:C26"/>
    <mergeCell ref="Q25:Q26"/>
    <mergeCell ref="A23:A24"/>
    <mergeCell ref="B23:B24"/>
    <mergeCell ref="C23:C24"/>
    <mergeCell ref="Q23:Q24"/>
    <mergeCell ref="P31:P32"/>
    <mergeCell ref="Q27:Q28"/>
    <mergeCell ref="A29:A30"/>
    <mergeCell ref="B29:B30"/>
    <mergeCell ref="C29:C30"/>
    <mergeCell ref="Q29:Q30"/>
    <mergeCell ref="A27:A28"/>
    <mergeCell ref="B27:B28"/>
    <mergeCell ref="C27:C28"/>
    <mergeCell ref="P27:P28"/>
    <mergeCell ref="P35:P36"/>
    <mergeCell ref="Q31:Q32"/>
    <mergeCell ref="A33:A34"/>
    <mergeCell ref="B33:B34"/>
    <mergeCell ref="C33:C34"/>
    <mergeCell ref="P33:P34"/>
    <mergeCell ref="Q33:Q34"/>
    <mergeCell ref="A31:A32"/>
    <mergeCell ref="B31:B32"/>
    <mergeCell ref="C31:C32"/>
    <mergeCell ref="N45:Q45"/>
    <mergeCell ref="A40:C40"/>
    <mergeCell ref="A41:C41"/>
    <mergeCell ref="Q35:Q36"/>
    <mergeCell ref="A37:B37"/>
    <mergeCell ref="A38:B38"/>
    <mergeCell ref="A39:B39"/>
    <mergeCell ref="A35:A36"/>
    <mergeCell ref="B35:B36"/>
    <mergeCell ref="C35:C36"/>
    <mergeCell ref="H46:K46"/>
    <mergeCell ref="L46:M46"/>
    <mergeCell ref="N46:Q46"/>
    <mergeCell ref="A42:C42"/>
    <mergeCell ref="A44:D44"/>
    <mergeCell ref="E44:K44"/>
    <mergeCell ref="L44:Q44"/>
    <mergeCell ref="B45:D45"/>
    <mergeCell ref="F45:K45"/>
    <mergeCell ref="L45:M45"/>
    <mergeCell ref="E50:G50"/>
    <mergeCell ref="A46:B46"/>
    <mergeCell ref="C46:D46"/>
    <mergeCell ref="E46:G46"/>
    <mergeCell ref="L47:Q47"/>
    <mergeCell ref="E48:K48"/>
    <mergeCell ref="L48:M49"/>
    <mergeCell ref="N48:Q49"/>
    <mergeCell ref="F49:K49"/>
    <mergeCell ref="A53:Q54"/>
    <mergeCell ref="A55:Q56"/>
    <mergeCell ref="H50:K50"/>
    <mergeCell ref="L50:M50"/>
    <mergeCell ref="N50:Q50"/>
    <mergeCell ref="A51:D51"/>
    <mergeCell ref="E51:K51"/>
    <mergeCell ref="L51:Q51"/>
    <mergeCell ref="A47:D50"/>
    <mergeCell ref="E47:K4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6.7109375" style="222" customWidth="1"/>
    <col min="2" max="2" width="58.7109375" style="222" customWidth="1"/>
    <col min="3" max="3" width="19.421875" style="222" customWidth="1"/>
    <col min="4" max="4" width="14.57421875" style="222" bestFit="1" customWidth="1"/>
    <col min="5" max="5" width="21.140625" style="222" customWidth="1"/>
    <col min="6" max="6" width="18.57421875" style="222" customWidth="1"/>
    <col min="7" max="8" width="22.140625" style="222" customWidth="1"/>
    <col min="9" max="9" width="19.57421875" style="222" customWidth="1"/>
    <col min="10" max="10" width="12.7109375" style="222" customWidth="1"/>
    <col min="11" max="16384" width="9.140625" style="222" customWidth="1"/>
  </cols>
  <sheetData>
    <row r="1" spans="1:9" ht="37.5" customHeight="1" thickBot="1">
      <c r="A1" s="573" t="s">
        <v>276</v>
      </c>
      <c r="B1" s="574"/>
      <c r="C1" s="630" t="s">
        <v>277</v>
      </c>
      <c r="D1" s="631"/>
      <c r="E1" s="631"/>
      <c r="F1" s="631"/>
      <c r="G1" s="632"/>
      <c r="H1" s="633"/>
      <c r="I1" s="634"/>
    </row>
    <row r="2" spans="1:10" ht="37.5" customHeight="1">
      <c r="A2" s="583" t="s">
        <v>362</v>
      </c>
      <c r="B2" s="584"/>
      <c r="C2" s="223" t="s">
        <v>278</v>
      </c>
      <c r="D2" s="639" t="s">
        <v>364</v>
      </c>
      <c r="E2" s="640"/>
      <c r="F2" s="640"/>
      <c r="G2" s="641"/>
      <c r="H2" s="635"/>
      <c r="I2" s="636"/>
      <c r="J2" s="224"/>
    </row>
    <row r="3" spans="1:10" ht="36" customHeight="1" thickBot="1">
      <c r="A3" s="605" t="s">
        <v>279</v>
      </c>
      <c r="B3" s="606"/>
      <c r="C3" s="225" t="s">
        <v>280</v>
      </c>
      <c r="D3" s="624" t="s">
        <v>356</v>
      </c>
      <c r="E3" s="625"/>
      <c r="F3" s="625"/>
      <c r="G3" s="626"/>
      <c r="H3" s="637"/>
      <c r="I3" s="638"/>
      <c r="J3" s="224"/>
    </row>
    <row r="4" spans="3:9" ht="24.75" customHeight="1" thickBot="1">
      <c r="C4" s="222" t="s">
        <v>281</v>
      </c>
      <c r="I4" s="224"/>
    </row>
    <row r="5" spans="1:9" s="228" customFormat="1" ht="24.75" customHeight="1" thickBot="1" thickTop="1">
      <c r="A5" s="226"/>
      <c r="B5" s="227"/>
      <c r="C5" s="227"/>
      <c r="D5" s="226"/>
      <c r="E5" s="618" t="s">
        <v>282</v>
      </c>
      <c r="F5" s="618"/>
      <c r="G5" s="619" t="s">
        <v>363</v>
      </c>
      <c r="H5" s="620"/>
      <c r="I5" s="621"/>
    </row>
    <row r="6" spans="1:10" s="228" customFormat="1" ht="15.75" customHeight="1" thickBot="1">
      <c r="A6" s="622" t="s">
        <v>283</v>
      </c>
      <c r="B6" s="622" t="s">
        <v>284</v>
      </c>
      <c r="C6" s="603" t="s">
        <v>285</v>
      </c>
      <c r="D6" s="622" t="s">
        <v>286</v>
      </c>
      <c r="E6" s="622" t="s">
        <v>287</v>
      </c>
      <c r="F6" s="622" t="s">
        <v>288</v>
      </c>
      <c r="G6" s="627" t="s">
        <v>289</v>
      </c>
      <c r="H6" s="628"/>
      <c r="I6" s="629"/>
      <c r="J6" s="229"/>
    </row>
    <row r="7" spans="1:10" s="228" customFormat="1" ht="58.5" customHeight="1" thickBot="1">
      <c r="A7" s="623"/>
      <c r="B7" s="623"/>
      <c r="C7" s="604"/>
      <c r="D7" s="623"/>
      <c r="E7" s="623"/>
      <c r="F7" s="623"/>
      <c r="G7" s="230" t="s">
        <v>290</v>
      </c>
      <c r="H7" s="230" t="s">
        <v>291</v>
      </c>
      <c r="I7" s="231" t="s">
        <v>292</v>
      </c>
      <c r="J7" s="232"/>
    </row>
    <row r="8" spans="1:20" s="228" customFormat="1" ht="26.25" customHeight="1">
      <c r="A8" s="233"/>
      <c r="B8" s="233"/>
      <c r="C8" s="234"/>
      <c r="D8" s="233"/>
      <c r="E8" s="233"/>
      <c r="F8" s="233"/>
      <c r="G8" s="233"/>
      <c r="H8" s="233"/>
      <c r="I8" s="235"/>
      <c r="J8" s="232"/>
      <c r="K8" s="236"/>
      <c r="L8" s="236"/>
      <c r="M8" s="236"/>
      <c r="N8" s="236"/>
      <c r="O8" s="236"/>
      <c r="P8" s="236"/>
      <c r="Q8" s="236"/>
      <c r="R8" s="236"/>
      <c r="S8" s="236"/>
      <c r="T8" s="236"/>
    </row>
    <row r="9" spans="1:10" ht="48" customHeight="1">
      <c r="A9" s="237">
        <v>1</v>
      </c>
      <c r="B9" s="367" t="s">
        <v>326</v>
      </c>
      <c r="C9" s="238"/>
      <c r="D9" s="239"/>
      <c r="E9" s="240"/>
      <c r="F9" s="241"/>
      <c r="G9" s="242"/>
      <c r="H9" s="242"/>
      <c r="I9" s="240"/>
      <c r="J9" s="243"/>
    </row>
    <row r="10" spans="1:12" ht="27" customHeight="1">
      <c r="A10" s="237" t="s">
        <v>342</v>
      </c>
      <c r="B10" s="368" t="s">
        <v>307</v>
      </c>
      <c r="C10" s="238" t="s">
        <v>181</v>
      </c>
      <c r="D10" s="375">
        <v>0.76</v>
      </c>
      <c r="E10" s="240">
        <f>F10/D10</f>
        <v>26590.855263157893</v>
      </c>
      <c r="F10" s="241">
        <f>'Anexo VII'!Q9</f>
        <v>20209.05</v>
      </c>
      <c r="G10" s="242">
        <f>F10*0.98</f>
        <v>19804.869</v>
      </c>
      <c r="H10" s="242">
        <f>F10*0.02</f>
        <v>404.181</v>
      </c>
      <c r="I10" s="240"/>
      <c r="J10" s="243"/>
      <c r="L10" s="222" t="s">
        <v>365</v>
      </c>
    </row>
    <row r="11" spans="1:10" ht="42" customHeight="1">
      <c r="A11" s="244" t="s">
        <v>343</v>
      </c>
      <c r="B11" s="369" t="s">
        <v>354</v>
      </c>
      <c r="C11" s="238" t="s">
        <v>181</v>
      </c>
      <c r="D11" s="375">
        <v>0.76</v>
      </c>
      <c r="E11" s="240">
        <f>F11/D11</f>
        <v>6237.486842105262</v>
      </c>
      <c r="F11" s="241">
        <f>'Anexo VII'!Q11</f>
        <v>4740.49</v>
      </c>
      <c r="G11" s="242">
        <f>F11*0.98</f>
        <v>4645.6802</v>
      </c>
      <c r="H11" s="242">
        <f>F11*0.02</f>
        <v>94.8098</v>
      </c>
      <c r="I11" s="245"/>
      <c r="J11" s="243"/>
    </row>
    <row r="12" spans="1:10" ht="33" customHeight="1">
      <c r="A12" s="244" t="s">
        <v>344</v>
      </c>
      <c r="B12" s="369" t="s">
        <v>336</v>
      </c>
      <c r="C12" s="238" t="s">
        <v>181</v>
      </c>
      <c r="D12" s="375">
        <v>0.76</v>
      </c>
      <c r="E12" s="240">
        <f>F12/D12</f>
        <v>25081.736842105267</v>
      </c>
      <c r="F12" s="241">
        <f>'Anexo VII'!Q13</f>
        <v>19062.120000000003</v>
      </c>
      <c r="G12" s="242">
        <f>F12*0.98</f>
        <v>18680.877600000003</v>
      </c>
      <c r="H12" s="242">
        <f>F12*0.02</f>
        <v>381.24240000000003</v>
      </c>
      <c r="I12" s="245"/>
      <c r="J12" s="243"/>
    </row>
    <row r="13" spans="1:10" ht="33" customHeight="1">
      <c r="A13" s="244" t="s">
        <v>345</v>
      </c>
      <c r="B13" s="369" t="s">
        <v>355</v>
      </c>
      <c r="C13" s="238" t="s">
        <v>181</v>
      </c>
      <c r="D13" s="375">
        <v>0.76</v>
      </c>
      <c r="E13" s="240">
        <f>F13/D13</f>
        <v>22198.38157894737</v>
      </c>
      <c r="F13" s="241">
        <f>'Anexo VII'!Q15</f>
        <v>16870.77</v>
      </c>
      <c r="G13" s="242">
        <f>F13*0.98</f>
        <v>16533.3546</v>
      </c>
      <c r="H13" s="242">
        <f>F13*0.02</f>
        <v>337.41540000000003</v>
      </c>
      <c r="I13" s="245"/>
      <c r="J13" s="243"/>
    </row>
    <row r="14" spans="1:10" ht="33" customHeight="1">
      <c r="A14" s="244">
        <v>2</v>
      </c>
      <c r="B14" s="367" t="s">
        <v>327</v>
      </c>
      <c r="C14" s="238"/>
      <c r="D14" s="375"/>
      <c r="E14" s="240"/>
      <c r="F14" s="241"/>
      <c r="G14" s="242"/>
      <c r="H14" s="242"/>
      <c r="I14" s="245"/>
      <c r="J14" s="243"/>
    </row>
    <row r="15" spans="1:10" ht="33" customHeight="1">
      <c r="A15" s="244" t="s">
        <v>346</v>
      </c>
      <c r="B15" s="368" t="s">
        <v>307</v>
      </c>
      <c r="C15" s="238" t="s">
        <v>181</v>
      </c>
      <c r="D15" s="375">
        <v>1.92</v>
      </c>
      <c r="E15" s="240">
        <f aca="true" t="shared" si="0" ref="E15:E23">F15/D15</f>
        <v>14609.604166666668</v>
      </c>
      <c r="F15" s="241">
        <f>'Anexo VII'!Q19</f>
        <v>28050.440000000002</v>
      </c>
      <c r="G15" s="242">
        <f aca="true" t="shared" si="1" ref="G15:G23">F15*0.98</f>
        <v>27489.431200000003</v>
      </c>
      <c r="H15" s="242">
        <f aca="true" t="shared" si="2" ref="H15:H23">F15*0.02</f>
        <v>561.0088000000001</v>
      </c>
      <c r="I15" s="245"/>
      <c r="J15" s="243"/>
    </row>
    <row r="16" spans="1:10" ht="33" customHeight="1">
      <c r="A16" s="244" t="s">
        <v>347</v>
      </c>
      <c r="B16" s="369" t="s">
        <v>354</v>
      </c>
      <c r="C16" s="238" t="s">
        <v>181</v>
      </c>
      <c r="D16" s="375">
        <v>1.92</v>
      </c>
      <c r="E16" s="240">
        <f t="shared" si="0"/>
        <v>2980.223958333334</v>
      </c>
      <c r="F16" s="241">
        <f>'Anexo VII'!Q21</f>
        <v>5722.030000000001</v>
      </c>
      <c r="G16" s="242">
        <f t="shared" si="1"/>
        <v>5607.589400000001</v>
      </c>
      <c r="H16" s="242">
        <f t="shared" si="2"/>
        <v>114.44060000000002</v>
      </c>
      <c r="I16" s="245"/>
      <c r="J16" s="243"/>
    </row>
    <row r="17" spans="1:10" ht="33" customHeight="1">
      <c r="A17" s="244" t="s">
        <v>348</v>
      </c>
      <c r="B17" s="369" t="s">
        <v>336</v>
      </c>
      <c r="C17" s="238" t="s">
        <v>181</v>
      </c>
      <c r="D17" s="375">
        <v>1.92</v>
      </c>
      <c r="E17" s="240">
        <f t="shared" si="0"/>
        <v>17313.927083333332</v>
      </c>
      <c r="F17" s="241">
        <f>'Anexo VII'!Q23</f>
        <v>33242.74</v>
      </c>
      <c r="G17" s="242">
        <f t="shared" si="1"/>
        <v>32577.885199999997</v>
      </c>
      <c r="H17" s="242">
        <f t="shared" si="2"/>
        <v>664.8548</v>
      </c>
      <c r="I17" s="245"/>
      <c r="J17" s="243"/>
    </row>
    <row r="18" spans="1:10" s="249" customFormat="1" ht="33.75" customHeight="1">
      <c r="A18" s="246" t="s">
        <v>349</v>
      </c>
      <c r="B18" s="369" t="s">
        <v>355</v>
      </c>
      <c r="C18" s="238" t="s">
        <v>181</v>
      </c>
      <c r="D18" s="375">
        <v>1.92</v>
      </c>
      <c r="E18" s="240">
        <f t="shared" si="0"/>
        <v>3109.234375</v>
      </c>
      <c r="F18" s="241">
        <f>'Anexo VII'!Q25</f>
        <v>5969.73</v>
      </c>
      <c r="G18" s="242">
        <f t="shared" si="1"/>
        <v>5850.335399999999</v>
      </c>
      <c r="H18" s="242">
        <f t="shared" si="2"/>
        <v>119.3946</v>
      </c>
      <c r="I18" s="247"/>
      <c r="J18" s="248"/>
    </row>
    <row r="19" spans="1:10" s="249" customFormat="1" ht="33.75" customHeight="1">
      <c r="A19" s="246">
        <v>3</v>
      </c>
      <c r="B19" s="367" t="s">
        <v>328</v>
      </c>
      <c r="C19" s="238"/>
      <c r="D19" s="375"/>
      <c r="E19" s="240"/>
      <c r="F19" s="241"/>
      <c r="G19" s="242"/>
      <c r="H19" s="242"/>
      <c r="I19" s="247"/>
      <c r="J19" s="248"/>
    </row>
    <row r="20" spans="1:10" ht="27" customHeight="1">
      <c r="A20" s="244" t="s">
        <v>350</v>
      </c>
      <c r="B20" s="368" t="s">
        <v>307</v>
      </c>
      <c r="C20" s="238" t="s">
        <v>181</v>
      </c>
      <c r="D20" s="375">
        <v>1.02</v>
      </c>
      <c r="E20" s="240">
        <f t="shared" si="0"/>
        <v>20538.813725490196</v>
      </c>
      <c r="F20" s="241">
        <f>'Anexo VII'!Q29</f>
        <v>20949.59</v>
      </c>
      <c r="G20" s="242">
        <f t="shared" si="1"/>
        <v>20530.5982</v>
      </c>
      <c r="H20" s="242">
        <f t="shared" si="2"/>
        <v>418.9918</v>
      </c>
      <c r="I20" s="245"/>
      <c r="J20" s="243"/>
    </row>
    <row r="21" spans="1:10" ht="27" customHeight="1">
      <c r="A21" s="244" t="s">
        <v>351</v>
      </c>
      <c r="B21" s="369" t="s">
        <v>354</v>
      </c>
      <c r="C21" s="238" t="s">
        <v>181</v>
      </c>
      <c r="D21" s="375">
        <v>1.02</v>
      </c>
      <c r="E21" s="240">
        <f t="shared" si="0"/>
        <v>43040.03921568627</v>
      </c>
      <c r="F21" s="241">
        <f>'Anexo VII'!Q31</f>
        <v>43900.84</v>
      </c>
      <c r="G21" s="242">
        <f t="shared" si="1"/>
        <v>43022.8232</v>
      </c>
      <c r="H21" s="242">
        <f t="shared" si="2"/>
        <v>878.0168</v>
      </c>
      <c r="I21" s="245"/>
      <c r="J21" s="243"/>
    </row>
    <row r="22" spans="1:10" ht="30.75" customHeight="1">
      <c r="A22" s="244" t="s">
        <v>352</v>
      </c>
      <c r="B22" s="369" t="s">
        <v>336</v>
      </c>
      <c r="C22" s="238" t="s">
        <v>181</v>
      </c>
      <c r="D22" s="375">
        <v>1.02</v>
      </c>
      <c r="E22" s="240">
        <f t="shared" si="0"/>
        <v>53685.82352941176</v>
      </c>
      <c r="F22" s="241">
        <f>'Anexo VII'!Q33</f>
        <v>54759.54</v>
      </c>
      <c r="G22" s="242">
        <f t="shared" si="1"/>
        <v>53664.3492</v>
      </c>
      <c r="H22" s="242">
        <f t="shared" si="2"/>
        <v>1095.1908</v>
      </c>
      <c r="I22" s="245"/>
      <c r="J22" s="243"/>
    </row>
    <row r="23" spans="1:10" ht="27.75" customHeight="1" thickBot="1">
      <c r="A23" s="244" t="s">
        <v>353</v>
      </c>
      <c r="B23" s="369" t="s">
        <v>355</v>
      </c>
      <c r="C23" s="238" t="s">
        <v>181</v>
      </c>
      <c r="D23" s="375">
        <v>1.02</v>
      </c>
      <c r="E23" s="240">
        <f t="shared" si="0"/>
        <v>17319.950980392154</v>
      </c>
      <c r="F23" s="241">
        <f>'Anexo VII'!Q35</f>
        <v>17666.35</v>
      </c>
      <c r="G23" s="242">
        <f t="shared" si="1"/>
        <v>17313.022999999997</v>
      </c>
      <c r="H23" s="242">
        <f t="shared" si="2"/>
        <v>353.327</v>
      </c>
      <c r="I23" s="245"/>
      <c r="J23" s="243"/>
    </row>
    <row r="24" spans="1:16" ht="15" thickBot="1">
      <c r="A24" s="250"/>
      <c r="B24" s="251"/>
      <c r="C24" s="251"/>
      <c r="D24" s="252"/>
      <c r="E24" s="253"/>
      <c r="F24" s="241"/>
      <c r="G24" s="253"/>
      <c r="H24" s="253"/>
      <c r="I24" s="254"/>
      <c r="J24" s="243"/>
      <c r="K24" s="255"/>
      <c r="N24" s="255"/>
      <c r="O24" s="255"/>
      <c r="P24" s="255"/>
    </row>
    <row r="25" spans="1:10" ht="15.75" customHeight="1" thickBot="1">
      <c r="A25" s="608" t="s">
        <v>293</v>
      </c>
      <c r="B25" s="609"/>
      <c r="C25" s="609"/>
      <c r="D25" s="609"/>
      <c r="E25" s="610"/>
      <c r="F25" s="254">
        <f>SUM(F8:F23)</f>
        <v>271143.69</v>
      </c>
      <c r="G25" s="254">
        <f>SUM(G8:G23)</f>
        <v>265720.8162</v>
      </c>
      <c r="H25" s="254">
        <f>SUM(H8:H23)</f>
        <v>5422.8738</v>
      </c>
      <c r="I25" s="254"/>
      <c r="J25" s="256"/>
    </row>
    <row r="26" spans="1:12" ht="15" thickBot="1">
      <c r="A26" s="611"/>
      <c r="B26" s="612"/>
      <c r="C26" s="612"/>
      <c r="D26" s="613"/>
      <c r="E26" s="614" t="s">
        <v>294</v>
      </c>
      <c r="F26" s="614"/>
      <c r="G26" s="615">
        <f>H25+G25</f>
        <v>271143.69</v>
      </c>
      <c r="H26" s="616"/>
      <c r="I26" s="617"/>
      <c r="J26" s="257"/>
      <c r="K26" s="257"/>
      <c r="L26" s="258"/>
    </row>
    <row r="27" spans="1:12" ht="14.25">
      <c r="A27" s="259"/>
      <c r="B27" s="259"/>
      <c r="C27" s="259"/>
      <c r="D27" s="259"/>
      <c r="E27" s="260"/>
      <c r="F27" s="260"/>
      <c r="G27" s="261"/>
      <c r="H27" s="261"/>
      <c r="I27" s="261"/>
      <c r="J27" s="257"/>
      <c r="K27" s="257"/>
      <c r="L27" s="258"/>
    </row>
    <row r="28" ht="13.5" thickBot="1">
      <c r="B28" s="262"/>
    </row>
    <row r="29" ht="13.5" thickTop="1">
      <c r="B29" s="224" t="s">
        <v>295</v>
      </c>
    </row>
    <row r="30" spans="2:9" ht="13.5" thickBot="1">
      <c r="B30" s="263"/>
      <c r="G30" s="264"/>
      <c r="H30" s="264"/>
      <c r="I30" s="265"/>
    </row>
    <row r="31" spans="1:12" ht="30" customHeight="1" thickTop="1">
      <c r="A31" s="266"/>
      <c r="B31" s="267" t="s">
        <v>296</v>
      </c>
      <c r="C31" s="224"/>
      <c r="D31" s="257"/>
      <c r="E31" s="257"/>
      <c r="F31" s="257"/>
      <c r="G31" s="607" t="s">
        <v>297</v>
      </c>
      <c r="H31" s="607"/>
      <c r="I31" s="607"/>
      <c r="J31" s="257"/>
      <c r="K31" s="257"/>
      <c r="L31" s="258"/>
    </row>
    <row r="32" spans="1:12" ht="12.75">
      <c r="A32" s="255"/>
      <c r="B32" s="255"/>
      <c r="C32" s="255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4:12" ht="12.75">
      <c r="D33" s="258"/>
      <c r="E33" s="258"/>
      <c r="F33" s="258"/>
      <c r="G33" s="258"/>
      <c r="H33" s="258"/>
      <c r="I33" s="258"/>
      <c r="J33" s="258"/>
      <c r="K33" s="258"/>
      <c r="L33" s="258"/>
    </row>
    <row r="34" spans="2:12" ht="12.75">
      <c r="B34" s="268"/>
      <c r="D34" s="258"/>
      <c r="E34" s="258"/>
      <c r="F34" s="258"/>
      <c r="G34" s="258"/>
      <c r="H34" s="258"/>
      <c r="I34" s="258"/>
      <c r="J34" s="258"/>
      <c r="K34" s="258"/>
      <c r="L34" s="258"/>
    </row>
  </sheetData>
  <sheetProtection/>
  <mergeCells count="21">
    <mergeCell ref="A1:B1"/>
    <mergeCell ref="C1:G1"/>
    <mergeCell ref="H1:I3"/>
    <mergeCell ref="A2:B2"/>
    <mergeCell ref="D2:G2"/>
    <mergeCell ref="B6:B7"/>
    <mergeCell ref="D3:G3"/>
    <mergeCell ref="D6:D7"/>
    <mergeCell ref="E6:E7"/>
    <mergeCell ref="F6:F7"/>
    <mergeCell ref="G6:I6"/>
    <mergeCell ref="C6:C7"/>
    <mergeCell ref="A3:B3"/>
    <mergeCell ref="G31:I31"/>
    <mergeCell ref="A25:E25"/>
    <mergeCell ref="A26:D26"/>
    <mergeCell ref="E26:F26"/>
    <mergeCell ref="G26:I26"/>
    <mergeCell ref="E5:F5"/>
    <mergeCell ref="G5:I5"/>
    <mergeCell ref="A6:A7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CATI - 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Habermann</dc:creator>
  <cp:keywords/>
  <dc:description/>
  <cp:lastModifiedBy>Paulo H Interliche</cp:lastModifiedBy>
  <cp:lastPrinted>2017-05-05T12:46:53Z</cp:lastPrinted>
  <dcterms:created xsi:type="dcterms:W3CDTF">2004-12-01T14:06:03Z</dcterms:created>
  <dcterms:modified xsi:type="dcterms:W3CDTF">2017-05-15T10:57:09Z</dcterms:modified>
  <cp:category/>
  <cp:version/>
  <cp:contentType/>
  <cp:contentStatus/>
</cp:coreProperties>
</file>